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codeName="ThisWorkbook" defaultThemeVersion="124226"/>
  <xr:revisionPtr revIDLastSave="0" documentId="13_ncr:1_{55B949C4-179D-4E65-8448-61E3BD26AD70}" xr6:coauthVersionLast="47" xr6:coauthVersionMax="47" xr10:uidLastSave="{00000000-0000-0000-0000-000000000000}"/>
  <bookViews>
    <workbookView xWindow="-28920" yWindow="-120" windowWidth="29040" windowHeight="15720" xr2:uid="{ABAC347F-B2B4-41C4-9EC6-FB3F0F54AB3E}"/>
  </bookViews>
  <sheets>
    <sheet name="Summary" sheetId="22" r:id="rId1"/>
    <sheet name="Tugalo" sheetId="33" r:id="rId2"/>
    <sheet name="Bartletts" sheetId="34" r:id="rId3"/>
    <sheet name="Nacoochee" sheetId="35" r:id="rId4"/>
    <sheet name="Oliver" sheetId="36" r:id="rId5"/>
    <sheet name="Sinclair" sheetId="37" r:id="rId6"/>
    <sheet name="Burton" sheetId="38" r:id="rId7"/>
    <sheet name="Major Contracts" sheetId="30" r:id="rId8"/>
    <sheet name="Change Orders" sheetId="28" r:id="rId9"/>
    <sheet name="Procurement" sheetId="39" r:id="rId10"/>
    <sheet name="Mod Complete - Terrora" sheetId="32" r:id="rId11"/>
  </sheets>
  <definedNames>
    <definedName name="_xlnm._FilterDatabase" localSheetId="8" hidden="1">'Change Orders'!$B$7:$E$20</definedName>
    <definedName name="_xlnm.Print_Area" localSheetId="2">Bartletts!$A$1:$S$40</definedName>
    <definedName name="_xlnm.Print_Area" localSheetId="6">Burton!$A$1:$M$38</definedName>
    <definedName name="_xlnm.Print_Area" localSheetId="10">'Mod Complete - Terrora'!$A$1:$M$39</definedName>
    <definedName name="_xlnm.Print_Area" localSheetId="3">Nacoochee!$A$1:$M$39</definedName>
    <definedName name="_xlnm.Print_Area" localSheetId="4">Oliver!$A$1:$S$38</definedName>
    <definedName name="_xlnm.Print_Area" localSheetId="5">Sinclair!$A$1:$M$38</definedName>
    <definedName name="_xlnm.Print_Area" localSheetId="0">Summary!$A$1:$S$40</definedName>
    <definedName name="_xlnm.Print_Area" localSheetId="1">Tugalo!$A$1:$S$41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22" l="1"/>
  <c r="R27" i="22"/>
  <c r="I23" i="35"/>
  <c r="I24" i="35"/>
  <c r="I25" i="22"/>
  <c r="I23" i="22"/>
  <c r="I24" i="22"/>
  <c r="D129" i="28" l="1"/>
  <c r="O20" i="33" l="1"/>
  <c r="Q20" i="33" s="1"/>
  <c r="I18" i="32" l="1"/>
  <c r="I23" i="37" l="1"/>
  <c r="I24" i="37"/>
  <c r="I23" i="38"/>
  <c r="I24" i="38"/>
  <c r="I25" i="38"/>
  <c r="I26" i="38"/>
  <c r="O24" i="22" l="1"/>
  <c r="O25" i="22"/>
  <c r="O26" i="22"/>
  <c r="O27" i="22"/>
  <c r="I11" i="38"/>
  <c r="I12" i="38"/>
  <c r="I13" i="38"/>
  <c r="I14" i="38"/>
  <c r="I15" i="38"/>
  <c r="I16" i="38"/>
  <c r="I17" i="38"/>
  <c r="I18" i="38"/>
  <c r="I19" i="38"/>
  <c r="I20" i="38"/>
  <c r="I21" i="38"/>
  <c r="I22" i="38"/>
  <c r="O23" i="22" s="1"/>
  <c r="A23" i="38"/>
  <c r="A24" i="38"/>
  <c r="A25" i="38"/>
  <c r="A26" i="38"/>
  <c r="C27" i="38"/>
  <c r="D27" i="38"/>
  <c r="E27" i="38"/>
  <c r="F27" i="38"/>
  <c r="G27" i="38"/>
  <c r="H27" i="38"/>
  <c r="J27" i="38"/>
  <c r="K27" i="38" s="1"/>
  <c r="M24" i="22"/>
  <c r="M25" i="22"/>
  <c r="P28" i="22"/>
  <c r="N28" i="22"/>
  <c r="I11" i="37"/>
  <c r="I12" i="37"/>
  <c r="I13" i="37"/>
  <c r="I14" i="37"/>
  <c r="I15" i="37"/>
  <c r="I16" i="37"/>
  <c r="M17" i="22" s="1"/>
  <c r="I17" i="37"/>
  <c r="M18" i="22" s="1"/>
  <c r="I18" i="37"/>
  <c r="M19" i="22" s="1"/>
  <c r="I19" i="37"/>
  <c r="M20" i="22" s="1"/>
  <c r="I20" i="37"/>
  <c r="M21" i="22" s="1"/>
  <c r="I21" i="37"/>
  <c r="M22" i="22" s="1"/>
  <c r="I22" i="37"/>
  <c r="M23" i="22" s="1"/>
  <c r="A23" i="37"/>
  <c r="A25" i="37" s="1"/>
  <c r="A24" i="37"/>
  <c r="A26" i="37" s="1"/>
  <c r="C27" i="37"/>
  <c r="D27" i="37"/>
  <c r="E27" i="37"/>
  <c r="F27" i="37"/>
  <c r="G27" i="37"/>
  <c r="H27" i="37"/>
  <c r="J27" i="37"/>
  <c r="D17" i="22"/>
  <c r="J19" i="32"/>
  <c r="H25" i="22"/>
  <c r="R25" i="22" s="1"/>
  <c r="H24" i="22"/>
  <c r="H23" i="22"/>
  <c r="H22" i="22"/>
  <c r="H21" i="22"/>
  <c r="H20" i="22"/>
  <c r="H19" i="22"/>
  <c r="H18" i="22"/>
  <c r="H17" i="22"/>
  <c r="H16" i="22"/>
  <c r="H14" i="22"/>
  <c r="H13" i="22"/>
  <c r="H12" i="22"/>
  <c r="O20" i="22" l="1"/>
  <c r="K19" i="38"/>
  <c r="O19" i="22"/>
  <c r="K18" i="38"/>
  <c r="O18" i="22"/>
  <c r="K17" i="38"/>
  <c r="O17" i="22"/>
  <c r="K16" i="38"/>
  <c r="O22" i="22"/>
  <c r="K21" i="38"/>
  <c r="O21" i="22"/>
  <c r="K20" i="38"/>
  <c r="I27" i="38"/>
  <c r="I27" i="37"/>
  <c r="O28" i="22"/>
  <c r="M28" i="22"/>
  <c r="C17" i="22"/>
  <c r="N15" i="34"/>
  <c r="M15" i="34"/>
  <c r="L15" i="34"/>
  <c r="H15" i="34"/>
  <c r="F15" i="34"/>
  <c r="C15" i="36"/>
  <c r="O23" i="33" l="1"/>
  <c r="E24" i="22" s="1"/>
  <c r="F24" i="22"/>
  <c r="R24" i="22" s="1"/>
  <c r="F23" i="22"/>
  <c r="R23" i="22" s="1"/>
  <c r="F22" i="22"/>
  <c r="R22" i="22" s="1"/>
  <c r="F21" i="22"/>
  <c r="R21" i="22" s="1"/>
  <c r="F20" i="22"/>
  <c r="R20" i="22" s="1"/>
  <c r="F19" i="22"/>
  <c r="R19" i="22" s="1"/>
  <c r="F18" i="22"/>
  <c r="R18" i="22" s="1"/>
  <c r="F17" i="22"/>
  <c r="R17" i="22" s="1"/>
  <c r="F16" i="22"/>
  <c r="F15" i="22"/>
  <c r="F14" i="22"/>
  <c r="F13" i="22"/>
  <c r="F12" i="22"/>
  <c r="D15" i="22" l="1"/>
  <c r="N14" i="34" l="1"/>
  <c r="M14" i="34"/>
  <c r="K14" i="34"/>
  <c r="H14" i="34"/>
  <c r="E14" i="34"/>
  <c r="D14" i="34"/>
  <c r="F14" i="34"/>
  <c r="L14" i="34"/>
  <c r="I14" i="34"/>
  <c r="C14" i="34"/>
  <c r="F14" i="35"/>
  <c r="E14" i="35"/>
  <c r="O14" i="36"/>
  <c r="I16" i="32"/>
  <c r="K16" i="32" s="1"/>
  <c r="O14" i="33"/>
  <c r="E15" i="22" s="1"/>
  <c r="D16" i="22"/>
  <c r="R16" i="22" s="1"/>
  <c r="I14" i="35" l="1"/>
  <c r="K14" i="35" s="1"/>
  <c r="Q14" i="33"/>
  <c r="O14" i="34"/>
  <c r="L28" i="22"/>
  <c r="J28" i="22"/>
  <c r="F28" i="22"/>
  <c r="D11" i="22"/>
  <c r="R11" i="22" s="1"/>
  <c r="D12" i="22"/>
  <c r="R12" i="22" s="1"/>
  <c r="D13" i="22"/>
  <c r="R13" i="22" s="1"/>
  <c r="D14" i="22"/>
  <c r="R14" i="22" s="1"/>
  <c r="D10" i="22"/>
  <c r="R10" i="22" s="1"/>
  <c r="G15" i="22" l="1"/>
  <c r="P14" i="34"/>
  <c r="Q14" i="34"/>
  <c r="D28" i="22"/>
  <c r="H15" i="22" l="1"/>
  <c r="R15" i="22" s="1"/>
  <c r="I13" i="34"/>
  <c r="H28" i="22" l="1"/>
  <c r="R28" i="22" s="1"/>
  <c r="E13" i="33"/>
  <c r="H15" i="32"/>
  <c r="E15" i="32"/>
  <c r="H14" i="32"/>
  <c r="H13" i="32"/>
  <c r="H12" i="32"/>
  <c r="H11" i="32"/>
  <c r="F13" i="35"/>
  <c r="H19" i="32" l="1"/>
  <c r="C12" i="36" l="1"/>
  <c r="C11" i="36"/>
  <c r="F12" i="35"/>
  <c r="F11" i="35"/>
  <c r="C12" i="34"/>
  <c r="C11" i="34"/>
  <c r="C27" i="34" s="1"/>
  <c r="L12" i="33"/>
  <c r="I12" i="33"/>
  <c r="F12" i="33"/>
  <c r="E12" i="33"/>
  <c r="E11" i="33"/>
  <c r="D12" i="33"/>
  <c r="C12" i="33"/>
  <c r="C11" i="33"/>
  <c r="G14" i="32"/>
  <c r="G13" i="32"/>
  <c r="G12" i="32"/>
  <c r="G11" i="32"/>
  <c r="F14" i="32"/>
  <c r="F13" i="32"/>
  <c r="F12" i="32"/>
  <c r="F11" i="32"/>
  <c r="E14" i="32"/>
  <c r="E13" i="32"/>
  <c r="D14" i="32"/>
  <c r="D19" i="32" s="1"/>
  <c r="C14" i="32"/>
  <c r="C13" i="32"/>
  <c r="F19" i="32" l="1"/>
  <c r="G19" i="32"/>
  <c r="E19" i="32"/>
  <c r="C19" i="32"/>
  <c r="I17" i="32" l="1"/>
  <c r="K17" i="32" s="1"/>
  <c r="C16" i="22" l="1"/>
  <c r="N27" i="36" l="1"/>
  <c r="M27" i="36"/>
  <c r="L27" i="36"/>
  <c r="K27" i="36"/>
  <c r="J27" i="36"/>
  <c r="I27" i="36"/>
  <c r="H27" i="36"/>
  <c r="G27" i="36"/>
  <c r="F27" i="36"/>
  <c r="E27" i="36"/>
  <c r="D27" i="36"/>
  <c r="C27" i="36"/>
  <c r="I22" i="35"/>
  <c r="I21" i="35"/>
  <c r="I20" i="35"/>
  <c r="K20" i="35" s="1"/>
  <c r="I19" i="35"/>
  <c r="K19" i="35" s="1"/>
  <c r="I18" i="35"/>
  <c r="K18" i="35" s="1"/>
  <c r="I17" i="35"/>
  <c r="K17" i="35" s="1"/>
  <c r="I16" i="35"/>
  <c r="K16" i="35" s="1"/>
  <c r="I15" i="35"/>
  <c r="K15" i="35" s="1"/>
  <c r="I13" i="35"/>
  <c r="K13" i="35" s="1"/>
  <c r="I12" i="35"/>
  <c r="K12" i="35" s="1"/>
  <c r="I11" i="35"/>
  <c r="K11" i="35" s="1"/>
  <c r="H27" i="35"/>
  <c r="G27" i="35"/>
  <c r="F27" i="35"/>
  <c r="E27" i="35"/>
  <c r="D27" i="35"/>
  <c r="C27" i="35"/>
  <c r="I22" i="22" l="1"/>
  <c r="K21" i="35"/>
  <c r="P27" i="36"/>
  <c r="Q27" i="36" s="1"/>
  <c r="O26" i="36"/>
  <c r="O25" i="36"/>
  <c r="O24" i="36"/>
  <c r="O23" i="36"/>
  <c r="O22" i="36"/>
  <c r="O21" i="36"/>
  <c r="Q21" i="36" s="1"/>
  <c r="O20" i="36"/>
  <c r="Q20" i="36" s="1"/>
  <c r="O19" i="36"/>
  <c r="Q19" i="36" s="1"/>
  <c r="O18" i="36"/>
  <c r="O17" i="36"/>
  <c r="O16" i="36"/>
  <c r="O15" i="36"/>
  <c r="O13" i="36"/>
  <c r="O12" i="36"/>
  <c r="Q12" i="36" s="1"/>
  <c r="O11" i="36"/>
  <c r="Q11" i="36" s="1"/>
  <c r="P27" i="34"/>
  <c r="Q27" i="34" s="1"/>
  <c r="O11" i="34"/>
  <c r="J27" i="35"/>
  <c r="K27" i="35" s="1"/>
  <c r="I11" i="32"/>
  <c r="O22" i="33"/>
  <c r="O21" i="33"/>
  <c r="Q21" i="33" s="1"/>
  <c r="O19" i="33"/>
  <c r="Q19" i="33" s="1"/>
  <c r="O18" i="33"/>
  <c r="Q18" i="33" s="1"/>
  <c r="O17" i="33"/>
  <c r="Q17" i="33" s="1"/>
  <c r="O16" i="33"/>
  <c r="O15" i="33"/>
  <c r="O13" i="33"/>
  <c r="O12" i="33"/>
  <c r="O11" i="33"/>
  <c r="Q11" i="33" s="1"/>
  <c r="D27" i="34"/>
  <c r="E27" i="34"/>
  <c r="F27" i="34"/>
  <c r="G27" i="34"/>
  <c r="H27" i="34"/>
  <c r="I27" i="34"/>
  <c r="J27" i="34"/>
  <c r="K27" i="34"/>
  <c r="L27" i="34"/>
  <c r="M27" i="34"/>
  <c r="N27" i="34"/>
  <c r="O24" i="34"/>
  <c r="O23" i="34"/>
  <c r="O22" i="34"/>
  <c r="O21" i="34"/>
  <c r="Q21" i="34" s="1"/>
  <c r="O20" i="34"/>
  <c r="Q20" i="34" s="1"/>
  <c r="O19" i="34"/>
  <c r="Q19" i="34" s="1"/>
  <c r="O18" i="34"/>
  <c r="Q18" i="34" s="1"/>
  <c r="O17" i="34"/>
  <c r="Q17" i="34" s="1"/>
  <c r="O16" i="34"/>
  <c r="O15" i="34"/>
  <c r="O13" i="34"/>
  <c r="G14" i="22" s="1"/>
  <c r="O12" i="34"/>
  <c r="G13" i="22" s="1"/>
  <c r="P27" i="33"/>
  <c r="Q27" i="33" s="1"/>
  <c r="N27" i="33"/>
  <c r="M27" i="33"/>
  <c r="L27" i="33"/>
  <c r="K27" i="33"/>
  <c r="J27" i="33"/>
  <c r="I27" i="33"/>
  <c r="H27" i="33"/>
  <c r="G27" i="33"/>
  <c r="F27" i="33"/>
  <c r="E27" i="33"/>
  <c r="D27" i="33"/>
  <c r="C27" i="33"/>
  <c r="I15" i="32"/>
  <c r="K15" i="32" s="1"/>
  <c r="I14" i="32"/>
  <c r="K14" i="32" s="1"/>
  <c r="I13" i="32"/>
  <c r="K13" i="32" s="1"/>
  <c r="I12" i="32"/>
  <c r="K12" i="32" s="1"/>
  <c r="I19" i="32" l="1"/>
  <c r="K19" i="32" s="1"/>
  <c r="E16" i="22"/>
  <c r="Q15" i="33"/>
  <c r="E17" i="22"/>
  <c r="Q16" i="33"/>
  <c r="G17" i="22"/>
  <c r="Q16" i="34"/>
  <c r="K11" i="32"/>
  <c r="G16" i="22"/>
  <c r="Q15" i="34"/>
  <c r="E13" i="22"/>
  <c r="Q12" i="33"/>
  <c r="E14" i="22"/>
  <c r="Q13" i="33"/>
  <c r="O27" i="33"/>
  <c r="O27" i="34"/>
  <c r="O27" i="36"/>
  <c r="K11" i="22"/>
  <c r="I11" i="22"/>
  <c r="G11" i="22"/>
  <c r="E11" i="22"/>
  <c r="C11" i="22"/>
  <c r="K10" i="22"/>
  <c r="I10" i="22"/>
  <c r="G10" i="22"/>
  <c r="E10" i="22"/>
  <c r="C10" i="22"/>
  <c r="Q11" i="22" l="1"/>
  <c r="Q10" i="22"/>
  <c r="K27" i="22" l="1"/>
  <c r="Q27" i="22" s="1"/>
  <c r="K26" i="22"/>
  <c r="Q26" i="22" s="1"/>
  <c r="K25" i="22"/>
  <c r="G25" i="22"/>
  <c r="K24" i="22"/>
  <c r="G24" i="22"/>
  <c r="Q24" i="22" s="1"/>
  <c r="K23" i="22"/>
  <c r="G23" i="22"/>
  <c r="E23" i="22"/>
  <c r="K22" i="22"/>
  <c r="G22" i="22"/>
  <c r="E22" i="22"/>
  <c r="K21" i="22"/>
  <c r="I21" i="22"/>
  <c r="G21" i="22"/>
  <c r="E21" i="22"/>
  <c r="K20" i="22"/>
  <c r="I20" i="22"/>
  <c r="G20" i="22"/>
  <c r="E20" i="22"/>
  <c r="K19" i="22"/>
  <c r="I19" i="22"/>
  <c r="G19" i="22"/>
  <c r="E19" i="22"/>
  <c r="K18" i="22"/>
  <c r="I18" i="22"/>
  <c r="G18" i="22"/>
  <c r="E18" i="22"/>
  <c r="K17" i="22"/>
  <c r="I17" i="22"/>
  <c r="Q17" i="22" s="1"/>
  <c r="K16" i="22"/>
  <c r="I16" i="22"/>
  <c r="K15" i="22"/>
  <c r="I15" i="22"/>
  <c r="C15" i="22"/>
  <c r="K14" i="22"/>
  <c r="I14" i="22"/>
  <c r="C14" i="22"/>
  <c r="K13" i="22"/>
  <c r="I13" i="22"/>
  <c r="C13" i="22"/>
  <c r="K12" i="22"/>
  <c r="G12" i="22"/>
  <c r="E12" i="22"/>
  <c r="C12" i="22"/>
  <c r="Q22" i="22" l="1"/>
  <c r="Q14" i="22"/>
  <c r="Q25" i="22"/>
  <c r="Q13" i="22"/>
  <c r="Q23" i="22"/>
  <c r="Q16" i="22"/>
  <c r="Q19" i="22"/>
  <c r="Q21" i="22"/>
  <c r="Q18" i="22"/>
  <c r="Q15" i="22"/>
  <c r="Q20" i="22"/>
  <c r="C28" i="22"/>
  <c r="E28" i="22"/>
  <c r="K28" i="22"/>
  <c r="G28" i="22"/>
  <c r="A24" i="36" l="1"/>
  <c r="A26" i="36" s="1"/>
  <c r="A23" i="36"/>
  <c r="A25" i="36" s="1"/>
  <c r="A24" i="35"/>
  <c r="A26" i="35" s="1"/>
  <c r="A23" i="35"/>
  <c r="A25" i="35" s="1"/>
  <c r="A24" i="34"/>
  <c r="A26" i="34" s="1"/>
  <c r="A23" i="34"/>
  <c r="A25" i="34" s="1"/>
  <c r="A24" i="33"/>
  <c r="A26" i="33" s="1"/>
  <c r="A23" i="33"/>
  <c r="A25" i="33" s="1"/>
  <c r="A25" i="22"/>
  <c r="A27" i="22" s="1"/>
  <c r="A24" i="22"/>
  <c r="A26" i="22" s="1"/>
  <c r="I27" i="35"/>
  <c r="I12" i="22" l="1"/>
  <c r="Q12" i="22" s="1"/>
  <c r="I28" i="22" l="1"/>
  <c r="Q28" i="22" s="1"/>
</calcChain>
</file>

<file path=xl/sharedStrings.xml><?xml version="1.0" encoding="utf-8"?>
<sst xmlns="http://schemas.openxmlformats.org/spreadsheetml/2006/main" count="1539" uniqueCount="446">
  <si>
    <t>Hydro Modernization Cost Report</t>
  </si>
  <si>
    <t>Project Monitoring Report thru June 30, 2025</t>
  </si>
  <si>
    <t xml:space="preserve">Total Project </t>
  </si>
  <si>
    <t>($1,000s)</t>
  </si>
  <si>
    <t>2019 IRP</t>
  </si>
  <si>
    <t>2022 IRP</t>
  </si>
  <si>
    <t>Year</t>
  </si>
  <si>
    <t>Period Ending</t>
  </si>
  <si>
    <t>Terrora Actuals</t>
  </si>
  <si>
    <t>Terrora 
Project Forecast*</t>
  </si>
  <si>
    <t>Tugalo 
Actuals</t>
  </si>
  <si>
    <t>Tugalo 
Project Forecast*</t>
  </si>
  <si>
    <t>Bartletts Ferry Actuals</t>
  </si>
  <si>
    <t>Bartletts Ferry Project Forecast*</t>
  </si>
  <si>
    <t>Nacoochee Actuals</t>
  </si>
  <si>
    <t>Nacoochee Project Forecast*</t>
  </si>
  <si>
    <t>Oliver 
Actuals</t>
  </si>
  <si>
    <t>Oliver 
Project Forecast*</t>
  </si>
  <si>
    <t>Sinclair 
Actuals</t>
  </si>
  <si>
    <t>Sinclair 
Project Forecast*</t>
  </si>
  <si>
    <t>Burton 
Actuals</t>
  </si>
  <si>
    <t>Burton 
Project Forecast*</t>
  </si>
  <si>
    <t>Total Actuals</t>
  </si>
  <si>
    <t>Total Project Forecast*</t>
  </si>
  <si>
    <t xml:space="preserve">TOTAL </t>
  </si>
  <si>
    <t>Sums and percentages may not add due to rounding.</t>
  </si>
  <si>
    <t>Notes on Variances</t>
  </si>
  <si>
    <t>A</t>
  </si>
  <si>
    <t>B</t>
  </si>
  <si>
    <t>C</t>
  </si>
  <si>
    <t>*Added once Project Forecast estimates are updated and approved. Currently includes Plant Terrora Project Forecast that was developed 1Q 2021, Plant Tugalo 3Q 2021, Bartletts 1-4 4Q 2021, Nacoochee 2Q 2023, Plant Oliver 3Q 2023, Plant Burton 1Q 2025.</t>
  </si>
  <si>
    <t>Measured against Total IRP Budgets from 2019 &amp; 2022 = $592,378.  2019 IRP Budget - $446,618; 2022 IRP Budget - $145,760 (Burton &amp; Sinclair).</t>
  </si>
  <si>
    <t>Plant Tugalo</t>
  </si>
  <si>
    <t>Actuals ($1,000s)</t>
  </si>
  <si>
    <t>Unit 1</t>
  </si>
  <si>
    <t>Unit 2</t>
  </si>
  <si>
    <t>Unit 3</t>
  </si>
  <si>
    <t>Unit 4</t>
  </si>
  <si>
    <t>Actuals</t>
  </si>
  <si>
    <t>Project Forecast*</t>
  </si>
  <si>
    <t>% Variance (against Project Forecast)</t>
  </si>
  <si>
    <t>Notes</t>
  </si>
  <si>
    <t>Turbine</t>
  </si>
  <si>
    <t>Generator</t>
  </si>
  <si>
    <t>BOP</t>
  </si>
  <si>
    <t>D</t>
  </si>
  <si>
    <t>Current Estimate at Completion</t>
  </si>
  <si>
    <t>Increase from IRP submittal to current forecast driven by turbine pricing, generator replacement, GSU pricing, and trash racks scope.</t>
  </si>
  <si>
    <t xml:space="preserve">Project proceeded ahead of the previous schedule, with the actual online dates advancing for Unit 1 to October 2023 from projected December 2023 and 
for Unit 2 to December 2023 from projected August 2024. Therefore, more costs occurred during the period ending December 31, 2023, than the project forecast due to project proceeding ahead of schedule, which translates to a decrease in the Current Estimate at Completion of around $3 million from the June 2023 report to the December 2023 report. </t>
  </si>
  <si>
    <t>Project continues to proceed ahead of schedule used to create Final Project Forecast, leading to earlier actual spend. Also, increase to Current Estimate at Completion in period ending December 31, 2024 due to change of General Contractor to finish Unit 3 &amp; 4 BOP work.</t>
  </si>
  <si>
    <t>Corrected Unit 1 BOP total for accounting system change of previous posted actuals.</t>
  </si>
  <si>
    <t>Notes:</t>
  </si>
  <si>
    <t>*Added once Project Forecast estimates are updated and approved. Final Project Forecast developed Q3 2021.</t>
  </si>
  <si>
    <t xml:space="preserve">Measured against 2019 IRP Budget - $109,736
</t>
  </si>
  <si>
    <t>Bartletts Ferry</t>
  </si>
  <si>
    <t>A,C</t>
  </si>
  <si>
    <t>Increase from IRP submittal to current forecast driven by turbine, generator, GSU, and electrical equipment pricing.</t>
  </si>
  <si>
    <t>Accounting system adjustments during period ending December 31, 2022.</t>
  </si>
  <si>
    <t>Challenges associated with supply chain issues and identification of more equipment wear and damage than anticipated during the discovery process, are expected to result in overall increased cost.</t>
  </si>
  <si>
    <t>*Added once Project Forecast estimates are updated and approved. Final Project Forecast developed Q4 2021.</t>
  </si>
  <si>
    <t>Measured against 2019 IRP Budget - $114,763</t>
  </si>
  <si>
    <t>Plant Nacoochee</t>
  </si>
  <si>
    <t>Increase from IRP submittal to current forecast driven by GSU, trash racks, and labor costs.</t>
  </si>
  <si>
    <t>Corrected Unit 2 turbine total for accounting system change of previous posted actuals.</t>
  </si>
  <si>
    <t>*Added once Project Forecast estimates are updated and approved. Final Project Forecast developed Q2 2023.</t>
  </si>
  <si>
    <t>Measured against 2019 IRP Budget - $44,117</t>
  </si>
  <si>
    <t>Plant Oliver</t>
  </si>
  <si>
    <t>Increase from IRP submittal to current forecast driven by labor and material costs.</t>
  </si>
  <si>
    <t>Propane generator costs under Unit 1 moved from Generator to appropriate BOP category.</t>
  </si>
  <si>
    <t>*Added once Project Forecast estimates are updated and approved. Final Project Forecast expected Q3 2023.</t>
  </si>
  <si>
    <t>Measured against 2019 IRP Budget - $119,842</t>
  </si>
  <si>
    <t xml:space="preserve"> </t>
  </si>
  <si>
    <t>Plant Sinclair</t>
  </si>
  <si>
    <t>*Added once Project Forecast estimates are updated and approved. Final Project Forecast expected Q3 2025.</t>
  </si>
  <si>
    <t>Measured against 2022 IRP Budget - $85,405</t>
  </si>
  <si>
    <t>Plant Burton</t>
  </si>
  <si>
    <t>Increase from IRP submittal to current forecast driven by scope change for civil infrastructure.</t>
  </si>
  <si>
    <t>*Added once Project Forecast estimates are updated and approved. Final Project Forecast expected Q1 2025.</t>
  </si>
  <si>
    <t>Measured against 2022 IRP Budget - $60,355</t>
  </si>
  <si>
    <t>Major Contracts</t>
  </si>
  <si>
    <t>Type</t>
  </si>
  <si>
    <r>
      <t>PO</t>
    </r>
    <r>
      <rPr>
        <b/>
        <vertAlign val="superscript"/>
        <sz val="14"/>
        <rFont val="Arial"/>
        <family val="2"/>
      </rPr>
      <t xml:space="preserve"> 1</t>
    </r>
  </si>
  <si>
    <r>
      <t>Estimated Amount
(1000$)</t>
    </r>
    <r>
      <rPr>
        <b/>
        <vertAlign val="superscript"/>
        <sz val="14"/>
        <rFont val="Arial"/>
        <family val="2"/>
      </rPr>
      <t>2</t>
    </r>
  </si>
  <si>
    <t>Initial                Contract Amount 
(1000$)</t>
  </si>
  <si>
    <r>
      <t>Current              Contract Amount 
(1000$)</t>
    </r>
    <r>
      <rPr>
        <b/>
        <vertAlign val="superscript"/>
        <sz val="14"/>
        <rFont val="Arial"/>
        <family val="2"/>
      </rPr>
      <t>3</t>
    </r>
  </si>
  <si>
    <r>
      <t>% Variance</t>
    </r>
    <r>
      <rPr>
        <b/>
        <vertAlign val="superscript"/>
        <sz val="14"/>
        <rFont val="Arial"/>
        <family val="2"/>
      </rPr>
      <t>4</t>
    </r>
  </si>
  <si>
    <t>Terrora</t>
  </si>
  <si>
    <t>Supply, remove and install</t>
  </si>
  <si>
    <t>GPC10980282 / GPC6429-0009</t>
  </si>
  <si>
    <t>A, B, P</t>
  </si>
  <si>
    <t>GPC65084-0001</t>
  </si>
  <si>
    <t>A, C</t>
  </si>
  <si>
    <t>General Contractor Unit 2</t>
  </si>
  <si>
    <t>Install</t>
  </si>
  <si>
    <t>GPC65147-0001</t>
  </si>
  <si>
    <t>A, D</t>
  </si>
  <si>
    <t>General Contractor Unit 1</t>
  </si>
  <si>
    <t>GPC69749-0001</t>
  </si>
  <si>
    <t>A, G</t>
  </si>
  <si>
    <t>Trash Racks</t>
  </si>
  <si>
    <t>GPC67622-0001</t>
  </si>
  <si>
    <t>Governor HPU Skids</t>
  </si>
  <si>
    <t>Supply</t>
  </si>
  <si>
    <t>GPC10982009</t>
  </si>
  <si>
    <t>Station Service Transformers</t>
  </si>
  <si>
    <t>GPC10977336</t>
  </si>
  <si>
    <t>Switchgear</t>
  </si>
  <si>
    <t>GPC11053203</t>
  </si>
  <si>
    <t>Lube Oil Skids</t>
  </si>
  <si>
    <t>GPC10982036</t>
  </si>
  <si>
    <t>A, E</t>
  </si>
  <si>
    <t>Batteries</t>
  </si>
  <si>
    <t>GPC11020730</t>
  </si>
  <si>
    <t>Generator Step Up Transformer</t>
  </si>
  <si>
    <t>N/A</t>
  </si>
  <si>
    <t>DCS</t>
  </si>
  <si>
    <t>GPC10990070</t>
  </si>
  <si>
    <t>A, F</t>
  </si>
  <si>
    <t>Totals</t>
  </si>
  <si>
    <t>Tugalo</t>
  </si>
  <si>
    <t>Turbine/Generator LNTP</t>
  </si>
  <si>
    <t>GPC69300-0001</t>
  </si>
  <si>
    <t>H, I</t>
  </si>
  <si>
    <t>Turbine/Generator U1</t>
  </si>
  <si>
    <t>I,J</t>
  </si>
  <si>
    <t>Turbine/Generator U2</t>
  </si>
  <si>
    <t>GPC69300-0002</t>
  </si>
  <si>
    <t>Turbine/Generator U3</t>
  </si>
  <si>
    <t>GPC69300-0003 / GPC69300-0013</t>
  </si>
  <si>
    <t>Turbine/Generator U4</t>
  </si>
  <si>
    <t>GPC69300-0004 / GPC69300-0012</t>
  </si>
  <si>
    <t>General Contractor U1</t>
  </si>
  <si>
    <t>GPC83925-0002</t>
  </si>
  <si>
    <t>General Contractor U2</t>
  </si>
  <si>
    <t>GPC83925-0004</t>
  </si>
  <si>
    <t>General Contractor U3 - Original</t>
  </si>
  <si>
    <t>GPC83925-0005</t>
  </si>
  <si>
    <t>Q</t>
  </si>
  <si>
    <t>General Contractor U4 - Original</t>
  </si>
  <si>
    <t>GPC83925-0006</t>
  </si>
  <si>
    <t>General Contractor U3 - New contract</t>
  </si>
  <si>
    <t>GPC93088-0004</t>
  </si>
  <si>
    <t>General Contractor U4 - New contract</t>
  </si>
  <si>
    <t>GPC93621-0001</t>
  </si>
  <si>
    <t>GPC64556-0007</t>
  </si>
  <si>
    <t>N</t>
  </si>
  <si>
    <t>Governor HPU Skids U1</t>
  </si>
  <si>
    <t>GPC69389-0007 / GPC18391-0388</t>
  </si>
  <si>
    <t>Governor HPU Skids U2</t>
  </si>
  <si>
    <t>GPC69389-0008 / GPC18391-0390</t>
  </si>
  <si>
    <t>Governor HPU Skids U3</t>
  </si>
  <si>
    <t>GPC69389-0009 / GPC18391-0386</t>
  </si>
  <si>
    <t>Governor HPU Skids U4</t>
  </si>
  <si>
    <t>GPC69389-0010 / GPC18391-0389</t>
  </si>
  <si>
    <t>GPC68066-0007</t>
  </si>
  <si>
    <t>GPC63594-0009</t>
  </si>
  <si>
    <t>GPC72032-0001</t>
  </si>
  <si>
    <t>Generator Step Up Transformers</t>
  </si>
  <si>
    <t>GPC70844-0002</t>
  </si>
  <si>
    <t>L</t>
  </si>
  <si>
    <t>DCS Unit 1</t>
  </si>
  <si>
    <t>GPC11121719</t>
  </si>
  <si>
    <t>O</t>
  </si>
  <si>
    <t>DCS Unit 2</t>
  </si>
  <si>
    <t>GPC18391-0383</t>
  </si>
  <si>
    <t>DCS Unit 3</t>
  </si>
  <si>
    <t>GPC18391-0419</t>
  </si>
  <si>
    <t>DCS Unit 4</t>
  </si>
  <si>
    <t>GPC18391-0421</t>
  </si>
  <si>
    <t>Spillway Gates</t>
  </si>
  <si>
    <t>K</t>
  </si>
  <si>
    <t>Bartletts Ferry 1-4</t>
  </si>
  <si>
    <t>Turbine Common</t>
  </si>
  <si>
    <t>GPC69087-0001</t>
  </si>
  <si>
    <t>H</t>
  </si>
  <si>
    <t>Turbine Unit 1</t>
  </si>
  <si>
    <t>GPC68064-0005</t>
  </si>
  <si>
    <t>M</t>
  </si>
  <si>
    <t>Turbine Unit 2</t>
  </si>
  <si>
    <t>GPC11503034</t>
  </si>
  <si>
    <t>Turbine Unit 3</t>
  </si>
  <si>
    <t>GPC11485430</t>
  </si>
  <si>
    <t>Turbine Unit 4</t>
  </si>
  <si>
    <t>GPC68064-0004</t>
  </si>
  <si>
    <t>Generator Unit 1</t>
  </si>
  <si>
    <t>GPC74379-0002</t>
  </si>
  <si>
    <t>Generator Unit 2</t>
  </si>
  <si>
    <t>GPC74379-0005</t>
  </si>
  <si>
    <t>Generator Unit 3</t>
  </si>
  <si>
    <t>GPC74379-0003</t>
  </si>
  <si>
    <t>Generator Unit 4</t>
  </si>
  <si>
    <t>GPC74379-0004</t>
  </si>
  <si>
    <t xml:space="preserve">H </t>
  </si>
  <si>
    <t>General Contractor - All Units</t>
  </si>
  <si>
    <t>Multiple</t>
  </si>
  <si>
    <t>Supply Only</t>
  </si>
  <si>
    <t>GPC64556-0019</t>
  </si>
  <si>
    <t>Governor HPU Skids Unit 1</t>
  </si>
  <si>
    <t>GPC73295-0001</t>
  </si>
  <si>
    <t>Governor HPU Skids Unit 2</t>
  </si>
  <si>
    <t>GPC73295-0003</t>
  </si>
  <si>
    <t>Governor HPU Skids Unit 3</t>
  </si>
  <si>
    <t>GPC73295-0002</t>
  </si>
  <si>
    <t>Governor HPU Skids Unit 4</t>
  </si>
  <si>
    <t>GPC73295-0004</t>
  </si>
  <si>
    <t>GPC68066-0012</t>
  </si>
  <si>
    <t>GPC67910-0006</t>
  </si>
  <si>
    <t>GPC66641-0008</t>
  </si>
  <si>
    <t>Generator Step Up Transformer U1</t>
  </si>
  <si>
    <t>GPC70844-0029</t>
  </si>
  <si>
    <t>Generator Step Up Transformer U2</t>
  </si>
  <si>
    <t>GPC70844-0004</t>
  </si>
  <si>
    <t>Generator Step Up Transformer U3</t>
  </si>
  <si>
    <t>GPC70844-0030</t>
  </si>
  <si>
    <t>Generator Step Up Transformer U4</t>
  </si>
  <si>
    <t>GPC70844-0006</t>
  </si>
  <si>
    <t>DCS U1</t>
  </si>
  <si>
    <t>GPC71804-0010</t>
  </si>
  <si>
    <t>DCS U2</t>
  </si>
  <si>
    <t>GPC18391-0422</t>
  </si>
  <si>
    <t>DCS U3</t>
  </si>
  <si>
    <t>GPC18391-0413</t>
  </si>
  <si>
    <t>DCS U4</t>
  </si>
  <si>
    <t>GPC18391-0420</t>
  </si>
  <si>
    <t>Nacoochee</t>
  </si>
  <si>
    <t>GPC69300-0008</t>
  </si>
  <si>
    <t>GPC69300-0014</t>
  </si>
  <si>
    <t>Turbine and Generator Unit 1</t>
  </si>
  <si>
    <t>GPC69300-0015</t>
  </si>
  <si>
    <t>GPC97256-0001</t>
  </si>
  <si>
    <t>GPC73295-0011</t>
  </si>
  <si>
    <t>GPC73295-0008</t>
  </si>
  <si>
    <t>GPC83584-0004</t>
  </si>
  <si>
    <t>GPC54530-0019</t>
  </si>
  <si>
    <t>GPC70844-0014</t>
  </si>
  <si>
    <t>GPC18391-0362</t>
  </si>
  <si>
    <t>GPC18391-0363</t>
  </si>
  <si>
    <t>Bulk Heads</t>
  </si>
  <si>
    <t>GPC64556-0010</t>
  </si>
  <si>
    <t>GPC64556-0018</t>
  </si>
  <si>
    <t>Head Gates</t>
  </si>
  <si>
    <t>Supply and install</t>
  </si>
  <si>
    <t>Oliver</t>
  </si>
  <si>
    <t>GPC64290-0016</t>
  </si>
  <si>
    <t>GPC64290-0014</t>
  </si>
  <si>
    <t>Turbine &amp; Generator Unit 3</t>
  </si>
  <si>
    <t>GPC64290-0015</t>
  </si>
  <si>
    <t>Turbine &amp; Generator Unit 4</t>
  </si>
  <si>
    <t>GPC64290-0020</t>
  </si>
  <si>
    <t>General Contractor - Unit 1,3 &amp; 4</t>
  </si>
  <si>
    <t>GPC89056-0004</t>
  </si>
  <si>
    <t>GPC73295-0009</t>
  </si>
  <si>
    <t>GPC73295-0005</t>
  </si>
  <si>
    <t>GPC73295-0006</t>
  </si>
  <si>
    <t>GPC73295-0007</t>
  </si>
  <si>
    <t>GPC83584-0008</t>
  </si>
  <si>
    <t>Switchgear Buses</t>
  </si>
  <si>
    <t>GPC67910-0035</t>
  </si>
  <si>
    <t>GPC72032-0007</t>
  </si>
  <si>
    <t>GPC70844-0021</t>
  </si>
  <si>
    <t>GPC71804-0002</t>
  </si>
  <si>
    <t>GPC71804-0003</t>
  </si>
  <si>
    <t>GPC71804-0004</t>
  </si>
  <si>
    <t>GPC71804-0005</t>
  </si>
  <si>
    <t>Depressing Air Compressor</t>
  </si>
  <si>
    <t>GPC68851-0143</t>
  </si>
  <si>
    <t>Headgates</t>
  </si>
  <si>
    <t>GPC89056-0002</t>
  </si>
  <si>
    <t>Sinclair</t>
  </si>
  <si>
    <t>Turbine U1</t>
  </si>
  <si>
    <t>GPC64290-0030</t>
  </si>
  <si>
    <t>General Contractor</t>
  </si>
  <si>
    <t>GPC73295-0013</t>
  </si>
  <si>
    <t>GPC73295-0012</t>
  </si>
  <si>
    <t>GPC83584-0012</t>
  </si>
  <si>
    <t>GPC70844-0025</t>
  </si>
  <si>
    <t>GPC18391-0359</t>
  </si>
  <si>
    <t>GPC18391-0361</t>
  </si>
  <si>
    <t>Burton</t>
  </si>
  <si>
    <t>Turbine LNTP</t>
  </si>
  <si>
    <t>GPC69300-0016</t>
  </si>
  <si>
    <t>GPC69300-0017</t>
  </si>
  <si>
    <t>GPC89056-0017</t>
  </si>
  <si>
    <t>GPC73295-0010</t>
  </si>
  <si>
    <t>GPC83584-0010</t>
  </si>
  <si>
    <t>GPC54530-0028</t>
  </si>
  <si>
    <t>GPC72032-0008</t>
  </si>
  <si>
    <t>GPC70844-0015</t>
  </si>
  <si>
    <t>GPC18391-0358</t>
  </si>
  <si>
    <t>GPC18391-0360</t>
  </si>
  <si>
    <r>
      <t xml:space="preserve">1 </t>
    </r>
    <r>
      <rPr>
        <sz val="16"/>
        <rFont val="Arial"/>
        <family val="2"/>
      </rPr>
      <t>PO's included when contract value exceeds $100k following award of contract and issuance of PO.</t>
    </r>
  </si>
  <si>
    <r>
      <t xml:space="preserve">2 </t>
    </r>
    <r>
      <rPr>
        <sz val="16"/>
        <rFont val="Arial"/>
        <family val="2"/>
      </rPr>
      <t>Estimated amount from Project Estimate</t>
    </r>
  </si>
  <si>
    <r>
      <t xml:space="preserve">3 </t>
    </r>
    <r>
      <rPr>
        <sz val="16"/>
        <rFont val="Arial"/>
        <family val="2"/>
      </rPr>
      <t>This reflects change orders to the contract/purchase order</t>
    </r>
  </si>
  <si>
    <r>
      <t xml:space="preserve">4 </t>
    </r>
    <r>
      <rPr>
        <sz val="16"/>
        <rFont val="Arial"/>
        <family val="2"/>
      </rPr>
      <t>From Initial Contract Amount to Current Amount</t>
    </r>
  </si>
  <si>
    <t xml:space="preserve">Notes on Variances  </t>
  </si>
  <si>
    <t xml:space="preserve">Variances between the Estimated Amount and the Initial Contract Amount are the result of the differences between the screening level Estimated Amount compared to the actual contract that was procured and is reflected as the Initial Contract Amount. </t>
  </si>
  <si>
    <t>Additional work related to rehabilitation and replacement of components not included in base scope.</t>
  </si>
  <si>
    <t>Additional rotor stability frame due to safety concerns. Additional cleaning and handling of the generator rotor.</t>
  </si>
  <si>
    <t>Documents issued for bid vs documents issued for construction.</t>
  </si>
  <si>
    <t>E</t>
  </si>
  <si>
    <t>Additional valve, differential pressure transmitters, and lifting frame modification.</t>
  </si>
  <si>
    <t>F</t>
  </si>
  <si>
    <t>Power and water cybersecurity suite equipment, operation station, and additional start up support.</t>
  </si>
  <si>
    <t>G</t>
  </si>
  <si>
    <t>"Estimated Amount" included in General Contractor Unit 2 value. Shown in Cell E9.</t>
  </si>
  <si>
    <t>Limited Notice to Proceed - contract negotiations completed</t>
  </si>
  <si>
    <t>I</t>
  </si>
  <si>
    <t>Turbine and Generator scope issued a single contract due to an alternate bid</t>
  </si>
  <si>
    <t>J</t>
  </si>
  <si>
    <t>Transferred braking/jacking and vibration monitoring scope to vendor, added scope for online brush removal and terminal blocks.</t>
  </si>
  <si>
    <t>Estimate includes supply and install. Originally estimated as Obermeyers, current strategy is replace in kind.</t>
  </si>
  <si>
    <t>Includes U1 and U3 transformers</t>
  </si>
  <si>
    <t>Steel indices</t>
  </si>
  <si>
    <t>Storage Fees</t>
  </si>
  <si>
    <t>Part associated with completing the final design.</t>
  </si>
  <si>
    <t>P</t>
  </si>
  <si>
    <t>New contracts due to replacement of General Contractor for finishing BOP work for Units 3 &amp; 4.</t>
  </si>
  <si>
    <t>Project Change Orders</t>
  </si>
  <si>
    <t>Material Change Orders (&gt;$100k)</t>
  </si>
  <si>
    <t>Date CO Submitted</t>
  </si>
  <si>
    <t>Description of Change Order Request</t>
  </si>
  <si>
    <t>Dollar Amount Requested (1000$)</t>
  </si>
  <si>
    <t>Date Approved</t>
  </si>
  <si>
    <t>Controls</t>
  </si>
  <si>
    <t>Penstock manholes/platforms, turb/gen platform, air reciever tank, control room access</t>
  </si>
  <si>
    <t>Unit 1/2 Turbine Increases.</t>
  </si>
  <si>
    <t>Night Shift Coordinator</t>
  </si>
  <si>
    <t>Terrora Isolation Valves</t>
  </si>
  <si>
    <t>Terrora Overhead Crane uprate</t>
  </si>
  <si>
    <t>Equipment and Startup support</t>
  </si>
  <si>
    <t>Operations Procedures</t>
  </si>
  <si>
    <t>Terrora Phase 2 Startup Support</t>
  </si>
  <si>
    <t>Terrora Unit 1 &amp; 2– New Lower Generator Guide Bearing Oil Basin Cover Proposal for Turbine Contractor</t>
  </si>
  <si>
    <t>Terrora Unit 1– LGGB Housing and Bridge Fit Reconditioning for Turbine Contractor</t>
  </si>
  <si>
    <t>34 Other Change Orders (&lt;$100k)</t>
  </si>
  <si>
    <t xml:space="preserve">Total </t>
  </si>
  <si>
    <t>Online Brush Removal, Vibration Sensors, Braking/Jack System, and Terminal Blocks</t>
  </si>
  <si>
    <t xml:space="preserve">Additional Electrical Hours Required </t>
  </si>
  <si>
    <t>Tugalo Unit 1 sole plate, draft tube, and wheel pit repairs</t>
  </si>
  <si>
    <t>By-Pass for the Temperature Control Valves</t>
  </si>
  <si>
    <t>Tugalo Trash Rack and Structural Steel temporary Storage</t>
  </si>
  <si>
    <t>GSU PO Reconciliation</t>
  </si>
  <si>
    <t>GSU Concrete Pad install</t>
  </si>
  <si>
    <t>Sheave Wheel Bracket Modifications (28 Sheave Wheel Brackets)</t>
  </si>
  <si>
    <t>Turbine Unit 2&amp;3 Draft Tube Repairs</t>
  </si>
  <si>
    <t>Turbine Contractor Unit 2 Expedited delivery</t>
  </si>
  <si>
    <t>General Contractor scope additions for various Field Work Authorizations</t>
  </si>
  <si>
    <t>Final agreement on changes of quantities for civil infrastructure project</t>
  </si>
  <si>
    <t>Scroll Case Coating: Unit 3</t>
  </si>
  <si>
    <t>18 Other Change Orders (&lt;$100k)</t>
  </si>
  <si>
    <t>Bartlett's Ferry</t>
  </si>
  <si>
    <t>Additional Options and Engineering Studies</t>
  </si>
  <si>
    <t>CPI increase in raw steel Price vs the Post-adjustment price for Headcover</t>
  </si>
  <si>
    <t>CPI increase in raw steel Price vs the Post-adjustment price for Runner</t>
  </si>
  <si>
    <t>Bartletts U1-4 Powerhouse Crane Cost Change</t>
  </si>
  <si>
    <t>Lifting and Handling Devices for Unit dis-assembly and re-assembly</t>
  </si>
  <si>
    <t>Trash Gate Actuator Variance Post-Control</t>
  </si>
  <si>
    <t>Internal review identified correction to value to accurately reflect credit, rather than cost</t>
  </si>
  <si>
    <t xml:space="preserve">Additional Hours Needed to complete Mechanical Design </t>
  </si>
  <si>
    <t>I&amp;C Variance for years 2023 thru 2026</t>
  </si>
  <si>
    <t>Generator Bearings</t>
  </si>
  <si>
    <t>U1 and U2 Baffling in Thrust Tub</t>
  </si>
  <si>
    <t>Internal review identified correction to this value</t>
  </si>
  <si>
    <t>Log Powerhouse Crane – LCP (Lead Containing Paint) Removal and Storage</t>
  </si>
  <si>
    <t>GSU PO Reconciliation - Pricing Index Increase</t>
  </si>
  <si>
    <t xml:space="preserve">Bartlett's Ferry Units 1-4 Shear Pin Detection system </t>
  </si>
  <si>
    <t>Internal review identified this line item to be added</t>
  </si>
  <si>
    <t>Bartletts Shear Pin Monitoring Panel Unit 3</t>
  </si>
  <si>
    <t>Replacement Stem Nuts for Head Gate Actuators</t>
  </si>
  <si>
    <t xml:space="preserve">Switchyard Relocation - Install of New GSU's (U1 &amp;U3) </t>
  </si>
  <si>
    <t>Vertical Generator Shaft Bearing Journals Replacement</t>
  </si>
  <si>
    <t>Headcover Sump and Piping Removal</t>
  </si>
  <si>
    <t>Tail Race Stop Log</t>
  </si>
  <si>
    <t>Spillway Gantry Cranes Upgrade from 575v to 480v</t>
  </si>
  <si>
    <t>Turbine Thrust Runner Repair</t>
  </si>
  <si>
    <t>Turbine Steel Price Adjustment</t>
  </si>
  <si>
    <t>Draft Tube Installation and Wheel Pit Blasting</t>
  </si>
  <si>
    <t>New turbine operating rings at Bartletts Units 1 &amp; 2</t>
  </si>
  <si>
    <t>Fans and Louvers</t>
  </si>
  <si>
    <t>Stator Rewind, Restack, Rotor Pole Refurbishment U1 Frame Modifications</t>
  </si>
  <si>
    <t>Generator Contractor Finger Flanges Change Order for the Stator Rewind, Restack, Rotor Pole Refurbishment</t>
  </si>
  <si>
    <t xml:space="preserve">Head Gates Drive System Change from Manual to Automatic Actuator </t>
  </si>
  <si>
    <t xml:space="preserve">Replacement of upper and lower generator guide bearings </t>
  </si>
  <si>
    <t xml:space="preserve">Rotor cleaning  and Abatement Removal </t>
  </si>
  <si>
    <t xml:space="preserve">Replacement of Operating Ring </t>
  </si>
  <si>
    <t>Stator Reposition</t>
  </si>
  <si>
    <t>Civil Infrastructure Contractor - Trash Rack Beam, Trash Rack Guides and Intake cover for priming valve</t>
  </si>
  <si>
    <t xml:space="preserve">Turbine Contractor Remob &amp; Stay Vanes </t>
  </si>
  <si>
    <t xml:space="preserve">Upper Guide &amp; Lower Guide Modification and Thrust Bearing </t>
  </si>
  <si>
    <t xml:space="preserve">Replacement Thrust Shoes </t>
  </si>
  <si>
    <t>Thrust Runner</t>
  </si>
  <si>
    <t>Civil Contractor - Draft Tube Stop Logs in Tail Race Units 1-4, Additional Trash Rack Channel Guide Modifications for Units 2-4, and Headgate Stem Guides</t>
  </si>
  <si>
    <t>Generator Delay due to Discovery Effort from June 23 to Nov 23.</t>
  </si>
  <si>
    <t>Covers of the Headgate Actuators</t>
  </si>
  <si>
    <t>Line Boring, Rotor Fans, &amp; Isolator Bushings</t>
  </si>
  <si>
    <t xml:space="preserve">2nd Fabrication Set (Gearbox Assembly) Rework </t>
  </si>
  <si>
    <t>Additional Replacement Parts</t>
  </si>
  <si>
    <t>Unit 2 Head Gate Gear Box Rework</t>
  </si>
  <si>
    <t>Work - Stop Logs, Stem and Beam Repair, Actuator</t>
  </si>
  <si>
    <t>New Clamping Flange Finger for U4</t>
  </si>
  <si>
    <t>Unit 2 Actuator Rework</t>
  </si>
  <si>
    <t>U2 Actuator Standy-by and Re-Install</t>
  </si>
  <si>
    <t>Building Lean To</t>
  </si>
  <si>
    <t>05/27/2025</t>
  </si>
  <si>
    <t>Generator Work Platform Unit 3</t>
  </si>
  <si>
    <t>Unit 3 Wheel Pit and Stay Vane Blast and Repaint and Rotor Blast and Repaint</t>
  </si>
  <si>
    <t>Water Quality Monitoring</t>
  </si>
  <si>
    <t>41 Other Change Orders (&lt;$100k)</t>
  </si>
  <si>
    <t>Contractor Unit 1 Delays and Rework</t>
  </si>
  <si>
    <t xml:space="preserve">Delays and rework during Nacoochee Unit 1 head gate replacement </t>
  </si>
  <si>
    <t>Unit 1-2 Exciters</t>
  </si>
  <si>
    <t>Unit 1 replace generator sole plates</t>
  </si>
  <si>
    <t>Auxillary Loads</t>
  </si>
  <si>
    <t>Unit 1 Draft Tube Repairs</t>
  </si>
  <si>
    <t>2 Other Change Orders (&lt;$100K)</t>
  </si>
  <si>
    <t>Contractor Generator Unit 3 New Scope Additions</t>
  </si>
  <si>
    <t>Oliver Unit 1 New Inner-Outer-Intermediate Headcovers</t>
  </si>
  <si>
    <t>Oliver Simulator</t>
  </si>
  <si>
    <t>08/09/2024</t>
  </si>
  <si>
    <t>Discovery Unit 1 bottom ring replacement</t>
  </si>
  <si>
    <t>12/10/2024</t>
  </si>
  <si>
    <t>New Headcovers and Bottom Rings</t>
  </si>
  <si>
    <t>New Turbine Shafts for U1-3</t>
  </si>
  <si>
    <t>Units 1-3 Greaseless Bushings and Wear pads with optional spares</t>
  </si>
  <si>
    <t>Auxiliary Loads Rewiring</t>
  </si>
  <si>
    <t>Discovery Work--Ditch Fill, Grounding Grid, Temp office trailers, grounding for fence</t>
  </si>
  <si>
    <t>Discover Work-- Static Excitation</t>
  </si>
  <si>
    <t>03/17/2025</t>
  </si>
  <si>
    <t>Discovery-- U1-2 Nut Guards</t>
  </si>
  <si>
    <t>GSU Transformers x (3)</t>
  </si>
  <si>
    <t>12 Other Change Orders (&lt;$100k)</t>
  </si>
  <si>
    <t>Stop Logs - Design, Fabricate, and Ship to Burton</t>
  </si>
  <si>
    <t>Sluice Gate Sealing</t>
  </si>
  <si>
    <t>2 Other Change Orders (&lt;$100k)</t>
  </si>
  <si>
    <t>Total</t>
  </si>
  <si>
    <t>Procurement Status of Significant Components -- All Received</t>
  </si>
  <si>
    <t>See separate GPC Hydro Modernization Procurement Summary attachment.</t>
  </si>
  <si>
    <t>Plant Terrora</t>
  </si>
  <si>
    <r>
      <t xml:space="preserve">Project Forecast* </t>
    </r>
    <r>
      <rPr>
        <b/>
        <sz val="9"/>
        <rFont val="Arial"/>
        <family val="2"/>
      </rPr>
      <t>(Developed 2/26/21)</t>
    </r>
  </si>
  <si>
    <t>Variance based on total actuals in this report versus total project forecast.</t>
  </si>
  <si>
    <t>*Added once Project Forecast estimates are updated and approved. Final Project Forecast developed Q1 2021.</t>
  </si>
  <si>
    <t>Measured against 2019 IRP Budget - $58,160</t>
  </si>
  <si>
    <t xml:space="preserve">Unit 1 returned to normal operation on November 19, 2021.  Unit 2 returned to normal operation on December 30, 2020. </t>
  </si>
  <si>
    <t xml:space="preserve">This report reflects actuals for the two semiannual periods following the return to normal operation of the last unit in the project (i.e., Unit 1) to reflect applicable invoiced costs but does not include any ordinary accounting adjustments made to close out the project, as applicable, after December 31, 2022.   </t>
  </si>
  <si>
    <t>PUBLIC DISCLOSURE</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</si>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</sst>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0_);\(&quot;$&quot;#,##0\)"/>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0.0_);[Red]\(#,##0.0\)"/>
    <numFmt numFmtId="168" formatCode="0.0"/>
    <numFmt numFmtId="169" formatCode="&quot;Actual&quot;\ &quot;$&quot;#,##0.0_);\(&quot;Actual&quot;\ \ &quot;$&quot;#,##0.0\)"/>
    <numFmt numFmtId="170" formatCode="&quot;Actual&quot;\ &quot;$&quot;#,##0.00_);\(&quot;Actual&quot;\ \ &quot;$&quot;#,##0.00\)"/>
    <numFmt numFmtId="171" formatCode="&quot;$&quot;#,##0.0_);[Red]\(&quot;$&quot;#,##0.0\)"/>
    <numFmt numFmtId="172" formatCode="_(&quot;$&quot;* #,##0.0_);_(&quot;$&quot;* \(#,##0.0\);_(&quot;$&quot;* &quot;-&quot;??_);_(@_)"/>
    <numFmt numFmtId="173" formatCode="&quot;$&quot;#,##0.000_);[Red]\(&quot;$&quot;#,##0.000\)"/>
    <numFmt numFmtId="174" formatCode="&quot;$&quot;#,##0.0000_);[Red]\(&quot;$&quot;#,##0.0000\)"/>
    <numFmt numFmtId="175" formatCode="_(&quot;$&quot;* #,##0.000_);_(&quot;$&quot;* \(#,##0.000\);_(&quot;$&quot;* &quot;-&quot;??_);_(@_)"/>
    <numFmt numFmtId="176" formatCode="[$-409]d\-mmm;@"/>
    <numFmt numFmtId="177" formatCode="0_);\(0\)"/>
    <numFmt numFmtId="178" formatCode="_([$$-409]* #,##0_);_([$$-409]* \(#,##0\);_([$$-409]* &quot;-&quot;??_);_(@_)"/>
    <numFmt numFmtId="179" formatCode="_(&quot;$&quot;* #,##0.000000_);_(&quot;$&quot;* \(#,##0.000000\);_(&quot;$&quot;* &quot;-&quot;??_);_(@_)"/>
    <numFmt numFmtId="180" formatCode="_([$$-409]* #,##0.00_);_([$$-409]* \(#,##0.00\);_([$$-409]* &quot;-&quot;??_);_(@_)"/>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b/>
      <i/>
      <sz val="10"/>
      <name val="Arial"/>
      <family val="2"/>
    </font>
    <font>
      <sz val="10"/>
      <color indexed="8"/>
      <name val="Arial"/>
      <family val="2"/>
    </font>
    <font>
      <sz val="10"/>
      <name val="Arial Narrow"/>
      <family val="2"/>
    </font>
    <font>
      <b/>
      <sz val="14"/>
      <color indexed="8"/>
      <name val="Arial"/>
      <family val="2"/>
    </font>
    <font>
      <b/>
      <sz val="10"/>
      <color indexed="12"/>
      <name val="Arial"/>
      <family val="2"/>
    </font>
    <font>
      <b/>
      <sz val="12"/>
      <name val="Arial Narrow"/>
      <family val="2"/>
    </font>
    <font>
      <i/>
      <sz val="10"/>
      <name val="Times New Roman"/>
      <family val="1"/>
    </font>
    <font>
      <vertAlign val="superscrip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0"/>
      <name val="Arial"/>
      <family val="2"/>
    </font>
    <font>
      <b/>
      <sz val="18"/>
      <color indexed="10"/>
      <name val="Arial Narrow"/>
      <family val="2"/>
    </font>
    <font>
      <sz val="18"/>
      <color indexed="10"/>
      <name val="Arial Narrow"/>
      <family val="2"/>
    </font>
    <font>
      <b/>
      <sz val="12"/>
      <name val="Arial"/>
      <family val="2"/>
    </font>
    <font>
      <sz val="12"/>
      <name val="Arial"/>
      <family val="2"/>
    </font>
    <font>
      <sz val="12"/>
      <color indexed="8"/>
      <name val="Arial"/>
      <family val="2"/>
    </font>
    <font>
      <sz val="14"/>
      <name val="Arial"/>
      <family val="2"/>
    </font>
    <font>
      <sz val="14"/>
      <color indexed="10"/>
      <name val="Arial"/>
      <family val="2"/>
    </font>
    <font>
      <i/>
      <vertAlign val="superscript"/>
      <sz val="14"/>
      <name val="Arial Narrow"/>
      <family val="2"/>
    </font>
    <font>
      <vertAlign val="superscript"/>
      <sz val="12"/>
      <name val="Arial"/>
      <family val="2"/>
    </font>
    <font>
      <b/>
      <vertAlign val="superscript"/>
      <sz val="14"/>
      <name val="Arial"/>
      <family val="2"/>
    </font>
    <font>
      <sz val="14"/>
      <color indexed="8"/>
      <name val="Arial"/>
      <family val="2"/>
    </font>
    <font>
      <sz val="11"/>
      <color theme="1"/>
      <name val="Calibri"/>
      <family val="2"/>
      <scheme val="minor"/>
    </font>
    <font>
      <sz val="11"/>
      <color theme="1"/>
      <name val="Arial"/>
      <family val="2"/>
    </font>
    <font>
      <sz val="10"/>
      <color theme="1"/>
      <name val="Arial"/>
      <family val="2"/>
    </font>
    <font>
      <b/>
      <sz val="14"/>
      <color theme="1"/>
      <name val="Calibri"/>
      <family val="2"/>
      <scheme val="minor"/>
    </font>
    <font>
      <sz val="14"/>
      <color theme="1"/>
      <name val="Calibri"/>
      <family val="2"/>
      <scheme val="minor"/>
    </font>
    <font>
      <sz val="10"/>
      <color indexed="12"/>
      <name val="Arial"/>
      <family val="2"/>
    </font>
    <font>
      <sz val="11"/>
      <name val="Arial"/>
      <family val="2"/>
    </font>
    <font>
      <sz val="10"/>
      <name val="Calibri"/>
      <family val="2"/>
    </font>
    <font>
      <u/>
      <sz val="10"/>
      <color theme="10"/>
      <name val="Arial"/>
      <family val="2"/>
    </font>
    <font>
      <b/>
      <u/>
      <sz val="14"/>
      <name val="Arial"/>
      <family val="2"/>
    </font>
    <font>
      <b/>
      <sz val="18"/>
      <name val="Arial"/>
      <family val="2"/>
    </font>
    <font>
      <b/>
      <strike/>
      <sz val="12"/>
      <name val="Arial"/>
      <family val="2"/>
    </font>
    <font>
      <vertAlign val="superscript"/>
      <sz val="16"/>
      <name val="Arial"/>
      <family val="2"/>
    </font>
    <font>
      <sz val="16"/>
      <name val="Arial"/>
      <family val="2"/>
    </font>
    <font>
      <b/>
      <sz val="14"/>
      <color rgb="FFFF0000"/>
      <name val="Arial"/>
      <family val="2"/>
    </font>
    <font>
      <sz val="10"/>
      <color rgb="FFFF0000"/>
      <name val="Arial"/>
      <family val="2"/>
    </font>
    <font>
      <b/>
      <sz val="9"/>
      <name val="Arial"/>
      <family val="2"/>
    </font>
    <font>
      <sz val="8"/>
      <name val="Arial"/>
      <family val="2"/>
    </font>
    <font>
      <b/>
      <sz val="12"/>
      <color rgb="FF000000"/>
      <name val="Arial"/>
      <family val="2"/>
    </font>
    <font>
      <sz val="12"/>
      <color rgb="FF000000"/>
      <name val="Arial"/>
      <family val="2"/>
    </font>
    <font>
      <sz val="14"/>
      <color rgb="FFFF0000"/>
      <name val="Arial"/>
      <family val="2"/>
    </font>
    <font>
      <b/>
      <sz val="12"/>
      <color rgb="FFFF0000"/>
      <name val="Arial"/>
      <family val="2"/>
    </font>
    <font>
      <sz val="10"/>
      <color theme="0"/>
      <name val="Arial"/>
      <family val="2"/>
    </font>
    <font>
      <sz val="14"/>
      <color theme="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diagonal/>
    </border>
    <border>
      <left style="medium">
        <color rgb="FF000000"/>
      </left>
      <right style="medium">
        <color rgb="FF000000"/>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rgb="FF000000"/>
      </left>
      <right style="thin">
        <color rgb="FF000000"/>
      </right>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rgb="FF000000"/>
      </top>
      <bottom/>
      <diagonal/>
    </border>
    <border>
      <left style="medium">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thin">
        <color rgb="FF000000"/>
      </right>
      <top style="thin">
        <color rgb="FF000000"/>
      </top>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top style="thin">
        <color rgb="FF000000"/>
      </top>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right style="thin">
        <color rgb="FF000000"/>
      </right>
      <top style="thin">
        <color indexed="64"/>
      </top>
      <bottom style="thin">
        <color rgb="FF000000"/>
      </bottom>
      <diagonal/>
    </border>
  </borders>
  <cellStyleXfs count="1032">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43" fontId="7" fillId="0" borderId="0" applyFont="0" applyFill="0" applyBorder="0" applyAlignment="0" applyProtection="0"/>
    <xf numFmtId="44" fontId="7" fillId="0" borderId="0" applyFont="0" applyFill="0" applyBorder="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7" fillId="0" borderId="0"/>
    <xf numFmtId="0" fontId="47" fillId="0" borderId="0"/>
    <xf numFmtId="0" fontId="11" fillId="0" borderId="0">
      <alignment vertical="top"/>
    </xf>
    <xf numFmtId="0" fontId="7" fillId="23" borderId="7" applyNumberFormat="0" applyFont="0" applyAlignment="0" applyProtection="0"/>
    <xf numFmtId="0" fontId="31" fillId="20" borderId="8" applyNumberFormat="0" applyAlignment="0" applyProtection="0"/>
    <xf numFmtId="9" fontId="7" fillId="0" borderId="0" applyFont="0" applyFill="0" applyBorder="0" applyAlignment="0" applyProtection="0"/>
    <xf numFmtId="0" fontId="11" fillId="0" borderId="0">
      <alignment vertical="top"/>
    </xf>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6" fillId="0" borderId="0"/>
    <xf numFmtId="0" fontId="6" fillId="0" borderId="0"/>
    <xf numFmtId="0" fontId="7" fillId="0" borderId="0">
      <alignment vertical="top"/>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0" fontId="5" fillId="0" borderId="0"/>
    <xf numFmtId="0" fontId="7" fillId="0" borderId="0">
      <alignment vertical="top"/>
    </xf>
    <xf numFmtId="9" fontId="7" fillId="0" borderId="0" applyFont="0" applyFill="0" applyBorder="0" applyAlignment="0" applyProtection="0"/>
    <xf numFmtId="0" fontId="5"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7" fillId="0" borderId="0">
      <alignment vertical="top"/>
    </xf>
    <xf numFmtId="0" fontId="11" fillId="0" borderId="0">
      <alignment vertical="top"/>
    </xf>
    <xf numFmtId="0" fontId="48" fillId="0" borderId="0"/>
    <xf numFmtId="44" fontId="5" fillId="0" borderId="0" applyFont="0" applyFill="0" applyBorder="0" applyAlignment="0" applyProtection="0"/>
    <xf numFmtId="0" fontId="7" fillId="0" borderId="0">
      <alignment vertical="top"/>
    </xf>
    <xf numFmtId="0" fontId="5" fillId="0" borderId="0"/>
    <xf numFmtId="0" fontId="11" fillId="0" borderId="0">
      <alignment vertical="top"/>
    </xf>
    <xf numFmtId="0" fontId="11" fillId="0" borderId="0">
      <alignment vertical="top"/>
    </xf>
    <xf numFmtId="0" fontId="11" fillId="0" borderId="0">
      <alignment vertical="top"/>
    </xf>
    <xf numFmtId="9" fontId="7"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5" fillId="0" borderId="0"/>
    <xf numFmtId="0" fontId="7" fillId="23" borderId="7" applyNumberFormat="0" applyFont="0" applyAlignment="0" applyProtection="0"/>
    <xf numFmtId="0" fontId="31" fillId="20"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5" fillId="0" borderId="0"/>
    <xf numFmtId="0" fontId="5" fillId="0" borderId="0"/>
    <xf numFmtId="43" fontId="5" fillId="0" borderId="0" applyFont="0" applyFill="0" applyBorder="0" applyAlignment="0" applyProtection="0"/>
    <xf numFmtId="0" fontId="5" fillId="0" borderId="0"/>
    <xf numFmtId="43" fontId="7"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7" fillId="0" borderId="0"/>
    <xf numFmtId="44"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7"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7"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7" fillId="0" borderId="0" applyFont="0" applyFill="0" applyBorder="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4" fillId="0" borderId="0"/>
    <xf numFmtId="0" fontId="7"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23" borderId="7" applyNumberFormat="0" applyFont="0" applyAlignment="0" applyProtection="0"/>
    <xf numFmtId="0" fontId="31" fillId="20" borderId="8"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3" fillId="0" borderId="0"/>
    <xf numFmtId="0" fontId="55"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419">
    <xf numFmtId="0" fontId="0" fillId="0" borderId="0" xfId="0"/>
    <xf numFmtId="0" fontId="7" fillId="0" borderId="0" xfId="41" applyFont="1" applyAlignment="1"/>
    <xf numFmtId="0" fontId="0" fillId="0" borderId="0" xfId="0" applyAlignment="1">
      <alignment horizontal="center" wrapText="1"/>
    </xf>
    <xf numFmtId="0" fontId="14" fillId="0" borderId="0" xfId="0" applyFont="1"/>
    <xf numFmtId="165" fontId="7" fillId="0" borderId="0" xfId="29" applyNumberFormat="1" applyFill="1" applyBorder="1"/>
    <xf numFmtId="0" fontId="16" fillId="0" borderId="0" xfId="45" applyFont="1" applyAlignment="1">
      <alignment horizontal="left" vertical="center"/>
    </xf>
    <xf numFmtId="0" fontId="17" fillId="0" borderId="0" xfId="41" applyFont="1" applyAlignment="1">
      <alignment horizontal="right"/>
    </xf>
    <xf numFmtId="0" fontId="12" fillId="0" borderId="0" xfId="0" applyFont="1"/>
    <xf numFmtId="0" fontId="35" fillId="0" borderId="0" xfId="45" applyFont="1" applyAlignment="1">
      <alignment horizontal="left" vertical="center"/>
    </xf>
    <xf numFmtId="0" fontId="37" fillId="0" borderId="0" xfId="0" applyFont="1" applyAlignment="1">
      <alignment horizontal="left"/>
    </xf>
    <xf numFmtId="169" fontId="7" fillId="0" borderId="0" xfId="41" applyNumberFormat="1" applyFont="1" applyAlignment="1"/>
    <xf numFmtId="0" fontId="7" fillId="0" borderId="0" xfId="45" applyFont="1">
      <alignment vertical="top"/>
    </xf>
    <xf numFmtId="165" fontId="7" fillId="0" borderId="0" xfId="41" applyNumberFormat="1" applyFont="1" applyAlignment="1"/>
    <xf numFmtId="164" fontId="7" fillId="0" borderId="0" xfId="28" applyNumberFormat="1" applyFont="1"/>
    <xf numFmtId="165" fontId="7" fillId="0" borderId="0" xfId="45" applyNumberFormat="1" applyFont="1">
      <alignment vertical="top"/>
    </xf>
    <xf numFmtId="164" fontId="7" fillId="0" borderId="0" xfId="45" applyNumberFormat="1" applyFont="1">
      <alignment vertical="top"/>
    </xf>
    <xf numFmtId="0" fontId="7" fillId="0" borderId="0" xfId="45" applyFont="1" applyAlignment="1">
      <alignment horizontal="center"/>
    </xf>
    <xf numFmtId="44" fontId="7" fillId="0" borderId="0" xfId="29" applyFont="1" applyBorder="1"/>
    <xf numFmtId="170" fontId="7" fillId="0" borderId="0" xfId="29" applyNumberFormat="1" applyFont="1" applyBorder="1"/>
    <xf numFmtId="171" fontId="7" fillId="0" borderId="0" xfId="45" applyNumberFormat="1" applyFont="1">
      <alignment vertical="top"/>
    </xf>
    <xf numFmtId="168" fontId="7" fillId="0" borderId="0" xfId="45" applyNumberFormat="1" applyFont="1">
      <alignment vertical="top"/>
    </xf>
    <xf numFmtId="8" fontId="7" fillId="0" borderId="0" xfId="41" applyNumberFormat="1" applyFont="1" applyAlignment="1"/>
    <xf numFmtId="164" fontId="7" fillId="0" borderId="0" xfId="41" applyNumberFormat="1" applyFont="1" applyAlignment="1"/>
    <xf numFmtId="5" fontId="7" fillId="0" borderId="0" xfId="28" applyNumberFormat="1" applyFont="1"/>
    <xf numFmtId="166" fontId="42" fillId="0" borderId="0" xfId="44" applyNumberFormat="1" applyFont="1" applyFill="1" applyBorder="1"/>
    <xf numFmtId="44" fontId="41" fillId="0" borderId="0" xfId="29" applyFont="1" applyBorder="1" applyAlignment="1">
      <alignment horizontal="center"/>
    </xf>
    <xf numFmtId="0" fontId="41" fillId="0" borderId="25" xfId="0" applyFont="1" applyBorder="1" applyAlignment="1">
      <alignment horizontal="left"/>
    </xf>
    <xf numFmtId="0" fontId="41" fillId="0" borderId="14" xfId="0" applyFont="1" applyBorder="1" applyAlignment="1">
      <alignment horizontal="left"/>
    </xf>
    <xf numFmtId="0" fontId="41" fillId="0" borderId="12" xfId="28" applyNumberFormat="1" applyFont="1" applyBorder="1" applyAlignment="1">
      <alignment horizontal="center"/>
    </xf>
    <xf numFmtId="0" fontId="41" fillId="0" borderId="14" xfId="0" quotePrefix="1" applyFont="1" applyBorder="1" applyAlignment="1">
      <alignment horizontal="left"/>
    </xf>
    <xf numFmtId="0" fontId="41" fillId="0" borderId="14" xfId="0" applyFont="1" applyBorder="1"/>
    <xf numFmtId="0" fontId="41" fillId="0" borderId="12" xfId="28" applyNumberFormat="1" applyFont="1" applyFill="1" applyBorder="1" applyAlignment="1">
      <alignment horizontal="center"/>
    </xf>
    <xf numFmtId="0" fontId="41" fillId="0" borderId="17" xfId="28" applyNumberFormat="1" applyFont="1" applyBorder="1" applyAlignment="1">
      <alignment horizontal="center"/>
    </xf>
    <xf numFmtId="0" fontId="44" fillId="0" borderId="0" xfId="39" applyFont="1" applyAlignment="1">
      <alignment horizontal="left"/>
    </xf>
    <xf numFmtId="0" fontId="39" fillId="0" borderId="0" xfId="39" applyFont="1" applyAlignment="1">
      <alignment horizontal="left"/>
    </xf>
    <xf numFmtId="0" fontId="43" fillId="0" borderId="12" xfId="28" applyNumberFormat="1" applyFont="1" applyBorder="1" applyAlignment="1">
      <alignment horizontal="center"/>
    </xf>
    <xf numFmtId="3" fontId="8" fillId="0" borderId="0" xfId="39" applyNumberFormat="1" applyFont="1" applyAlignment="1">
      <alignment horizontal="center"/>
    </xf>
    <xf numFmtId="173" fontId="7" fillId="0" borderId="0" xfId="45" applyNumberFormat="1" applyFont="1">
      <alignment vertical="top"/>
    </xf>
    <xf numFmtId="174" fontId="7" fillId="0" borderId="0" xfId="45" applyNumberFormat="1" applyFont="1">
      <alignment vertical="top"/>
    </xf>
    <xf numFmtId="0" fontId="9" fillId="0" borderId="0" xfId="0" applyFont="1" applyAlignment="1">
      <alignment vertical="center"/>
    </xf>
    <xf numFmtId="0" fontId="15" fillId="0" borderId="0" xfId="41" applyFont="1" applyAlignment="1">
      <alignment vertical="center"/>
    </xf>
    <xf numFmtId="0" fontId="41" fillId="0" borderId="13" xfId="0" applyFont="1" applyBorder="1"/>
    <xf numFmtId="172" fontId="7" fillId="0" borderId="0" xfId="45" applyNumberFormat="1" applyFont="1">
      <alignment vertical="top"/>
    </xf>
    <xf numFmtId="175" fontId="7" fillId="0" borderId="0" xfId="45" applyNumberFormat="1" applyFont="1">
      <alignment vertical="top"/>
    </xf>
    <xf numFmtId="167" fontId="7" fillId="0" borderId="0" xfId="41" applyNumberFormat="1" applyFont="1" applyAlignment="1"/>
    <xf numFmtId="15" fontId="51" fillId="0" borderId="12" xfId="0" applyNumberFormat="1" applyFont="1" applyBorder="1" applyAlignment="1">
      <alignment horizontal="center"/>
    </xf>
    <xf numFmtId="0" fontId="51" fillId="0" borderId="12" xfId="0" applyFont="1" applyBorder="1" applyAlignment="1">
      <alignment horizontal="left"/>
    </xf>
    <xf numFmtId="0" fontId="15" fillId="0" borderId="0" xfId="41" applyFont="1" applyAlignment="1">
      <alignment horizontal="center" vertical="center"/>
    </xf>
    <xf numFmtId="3" fontId="41" fillId="0" borderId="24" xfId="0" applyNumberFormat="1" applyFont="1" applyBorder="1" applyAlignment="1">
      <alignment horizontal="center"/>
    </xf>
    <xf numFmtId="0" fontId="52" fillId="0" borderId="0" xfId="0" applyFont="1" applyAlignment="1">
      <alignment horizontal="center"/>
    </xf>
    <xf numFmtId="0" fontId="0" fillId="0" borderId="0" xfId="0" applyAlignment="1">
      <alignment horizontal="center"/>
    </xf>
    <xf numFmtId="7" fontId="41" fillId="0" borderId="0" xfId="41" applyNumberFormat="1" applyFont="1" applyAlignment="1"/>
    <xf numFmtId="0" fontId="41" fillId="0" borderId="0" xfId="41" applyFont="1" applyAlignment="1">
      <alignment horizontal="center"/>
    </xf>
    <xf numFmtId="0" fontId="41" fillId="0" borderId="0" xfId="45" applyFont="1" applyAlignment="1">
      <alignment horizontal="center"/>
    </xf>
    <xf numFmtId="9" fontId="38" fillId="0" borderId="18" xfId="44" applyFont="1" applyFill="1" applyBorder="1" applyAlignment="1">
      <alignment horizontal="right"/>
    </xf>
    <xf numFmtId="171" fontId="38" fillId="0" borderId="12" xfId="29" applyNumberFormat="1" applyFont="1" applyFill="1" applyBorder="1" applyAlignment="1">
      <alignment horizontal="right"/>
    </xf>
    <xf numFmtId="0" fontId="38" fillId="0" borderId="19" xfId="0" applyFont="1" applyBorder="1" applyAlignment="1">
      <alignment horizontal="center"/>
    </xf>
    <xf numFmtId="166" fontId="38" fillId="0" borderId="38" xfId="39" applyNumberFormat="1" applyFont="1" applyBorder="1" applyAlignment="1">
      <alignment horizontal="center"/>
    </xf>
    <xf numFmtId="165" fontId="50" fillId="0" borderId="12" xfId="29" applyNumberFormat="1" applyFont="1" applyFill="1" applyBorder="1" applyAlignment="1">
      <alignment horizontal="left"/>
    </xf>
    <xf numFmtId="0" fontId="11" fillId="0" borderId="0" xfId="39" applyFont="1" applyAlignment="1">
      <alignment vertical="top"/>
    </xf>
    <xf numFmtId="0" fontId="53" fillId="0" borderId="0" xfId="39" applyFont="1"/>
    <xf numFmtId="0" fontId="41" fillId="0" borderId="29" xfId="45" applyFont="1" applyBorder="1" applyAlignment="1">
      <alignment horizontal="center" vertical="center"/>
    </xf>
    <xf numFmtId="0" fontId="41" fillId="0" borderId="0" xfId="45" applyFont="1" applyAlignment="1">
      <alignment horizontal="center" vertical="center"/>
    </xf>
    <xf numFmtId="6" fontId="54" fillId="0" borderId="0" xfId="0" applyNumberFormat="1" applyFont="1" applyAlignment="1">
      <alignment horizontal="right" vertical="center" wrapText="1"/>
    </xf>
    <xf numFmtId="0" fontId="44" fillId="0" borderId="0" xfId="0" applyFont="1" applyAlignment="1">
      <alignment horizontal="left"/>
    </xf>
    <xf numFmtId="0" fontId="10" fillId="0" borderId="0" xfId="41" applyFont="1" applyAlignment="1"/>
    <xf numFmtId="169" fontId="55" fillId="0" borderId="0" xfId="395" applyNumberFormat="1" applyAlignment="1"/>
    <xf numFmtId="0" fontId="10" fillId="0" borderId="0" xfId="41" applyFont="1" applyAlignment="1">
      <alignment horizontal="right"/>
    </xf>
    <xf numFmtId="44" fontId="41" fillId="0" borderId="0" xfId="41" applyNumberFormat="1" applyFont="1" applyAlignment="1">
      <alignment horizontal="center"/>
    </xf>
    <xf numFmtId="0" fontId="41" fillId="0" borderId="45" xfId="0" applyFont="1" applyBorder="1" applyAlignment="1">
      <alignment horizontal="left"/>
    </xf>
    <xf numFmtId="0" fontId="41" fillId="0" borderId="22" xfId="0" applyFont="1" applyBorder="1" applyAlignment="1">
      <alignment horizontal="left"/>
    </xf>
    <xf numFmtId="0" fontId="41" fillId="0" borderId="22" xfId="0" applyFont="1" applyBorder="1"/>
    <xf numFmtId="0" fontId="41" fillId="0" borderId="46" xfId="0" applyFont="1" applyBorder="1"/>
    <xf numFmtId="0" fontId="41" fillId="0" borderId="45" xfId="0" applyFont="1" applyBorder="1"/>
    <xf numFmtId="0" fontId="56" fillId="25" borderId="25" xfId="0" applyFont="1" applyFill="1" applyBorder="1" applyAlignment="1">
      <alignment horizontal="left"/>
    </xf>
    <xf numFmtId="0" fontId="9" fillId="0" borderId="27" xfId="45" applyFont="1" applyBorder="1" applyAlignment="1">
      <alignment wrapText="1"/>
    </xf>
    <xf numFmtId="0" fontId="41" fillId="0" borderId="25" xfId="41" applyFont="1" applyBorder="1" applyAlignment="1">
      <alignment horizontal="center" vertical="center"/>
    </xf>
    <xf numFmtId="176" fontId="41" fillId="0" borderId="26" xfId="28" applyNumberFormat="1" applyFont="1" applyFill="1" applyBorder="1" applyAlignment="1">
      <alignment horizontal="center" vertical="center"/>
    </xf>
    <xf numFmtId="165" fontId="38" fillId="0" borderId="26" xfId="29" applyNumberFormat="1" applyFont="1" applyFill="1" applyBorder="1" applyAlignment="1">
      <alignment horizontal="right" vertical="center"/>
    </xf>
    <xf numFmtId="165" fontId="38" fillId="0" borderId="47" xfId="29" applyNumberFormat="1" applyFont="1" applyFill="1" applyBorder="1" applyAlignment="1">
      <alignment horizontal="right" vertical="center"/>
    </xf>
    <xf numFmtId="0" fontId="41" fillId="0" borderId="14" xfId="41" applyFont="1" applyBorder="1" applyAlignment="1">
      <alignment horizontal="center" vertical="center"/>
    </xf>
    <xf numFmtId="176" fontId="41" fillId="0" borderId="12" xfId="28" applyNumberFormat="1" applyFont="1" applyFill="1" applyBorder="1" applyAlignment="1">
      <alignment horizontal="center" vertical="center"/>
    </xf>
    <xf numFmtId="165" fontId="38" fillId="0" borderId="12" xfId="29" applyNumberFormat="1" applyFont="1" applyFill="1" applyBorder="1" applyAlignment="1">
      <alignment horizontal="right" vertical="center"/>
    </xf>
    <xf numFmtId="165" fontId="38" fillId="0" borderId="10" xfId="29" applyNumberFormat="1" applyFont="1" applyFill="1" applyBorder="1" applyAlignment="1">
      <alignment horizontal="right" vertical="center"/>
    </xf>
    <xf numFmtId="0" fontId="41" fillId="0" borderId="14" xfId="45" applyFont="1" applyBorder="1" applyAlignment="1">
      <alignment horizontal="center" vertical="center"/>
    </xf>
    <xf numFmtId="165" fontId="38" fillId="25" borderId="12" xfId="29" applyNumberFormat="1" applyFont="1" applyFill="1" applyBorder="1" applyAlignment="1">
      <alignment horizontal="right" vertical="center"/>
    </xf>
    <xf numFmtId="176" fontId="41" fillId="0" borderId="37" xfId="28" applyNumberFormat="1" applyFont="1" applyFill="1" applyBorder="1" applyAlignment="1">
      <alignment horizontal="center" vertical="center"/>
    </xf>
    <xf numFmtId="165" fontId="39" fillId="0" borderId="42" xfId="29" applyNumberFormat="1" applyFont="1" applyFill="1" applyBorder="1" applyAlignment="1">
      <alignment horizontal="right" vertical="center"/>
    </xf>
    <xf numFmtId="165" fontId="38" fillId="0" borderId="42" xfId="29" applyNumberFormat="1" applyFont="1" applyFill="1" applyBorder="1" applyAlignment="1">
      <alignment horizontal="right" vertical="center"/>
    </xf>
    <xf numFmtId="165" fontId="38" fillId="0" borderId="40" xfId="29" applyNumberFormat="1" applyFont="1" applyFill="1" applyBorder="1" applyAlignment="1">
      <alignment horizontal="right" vertical="center"/>
    </xf>
    <xf numFmtId="176" fontId="41" fillId="0" borderId="41" xfId="28" applyNumberFormat="1" applyFont="1" applyFill="1" applyBorder="1" applyAlignment="1">
      <alignment horizontal="center" vertical="center"/>
    </xf>
    <xf numFmtId="165" fontId="39" fillId="0" borderId="41" xfId="29" applyNumberFormat="1" applyFont="1" applyFill="1" applyBorder="1" applyAlignment="1">
      <alignment horizontal="right" vertical="center"/>
    </xf>
    <xf numFmtId="176" fontId="41" fillId="0" borderId="42" xfId="28" applyNumberFormat="1" applyFont="1" applyFill="1" applyBorder="1" applyAlignment="1">
      <alignment horizontal="center" vertical="center"/>
    </xf>
    <xf numFmtId="165" fontId="39" fillId="25" borderId="42" xfId="29" applyNumberFormat="1" applyFont="1" applyFill="1" applyBorder="1" applyAlignment="1">
      <alignment horizontal="right" vertical="center"/>
    </xf>
    <xf numFmtId="165" fontId="38" fillId="25" borderId="42" xfId="29" applyNumberFormat="1" applyFont="1" applyFill="1" applyBorder="1" applyAlignment="1">
      <alignment horizontal="right" vertical="center"/>
    </xf>
    <xf numFmtId="176" fontId="41" fillId="0" borderId="43" xfId="28" applyNumberFormat="1" applyFont="1" applyFill="1" applyBorder="1" applyAlignment="1">
      <alignment horizontal="center" vertical="center"/>
    </xf>
    <xf numFmtId="165" fontId="39" fillId="25" borderId="34" xfId="29" applyNumberFormat="1" applyFont="1" applyFill="1" applyBorder="1" applyAlignment="1">
      <alignment horizontal="right" vertical="center"/>
    </xf>
    <xf numFmtId="165" fontId="39" fillId="0" borderId="34" xfId="29" applyNumberFormat="1" applyFont="1" applyFill="1" applyBorder="1" applyAlignment="1">
      <alignment horizontal="right" vertical="center"/>
    </xf>
    <xf numFmtId="0" fontId="41" fillId="0" borderId="45" xfId="0" quotePrefix="1" applyFont="1" applyBorder="1" applyAlignment="1">
      <alignment horizontal="left"/>
    </xf>
    <xf numFmtId="0" fontId="9" fillId="0" borderId="0" xfId="41" applyFont="1" applyAlignment="1"/>
    <xf numFmtId="0" fontId="41" fillId="0" borderId="42" xfId="45" applyFont="1" applyBorder="1" applyAlignment="1">
      <alignment horizontal="center" vertical="center"/>
    </xf>
    <xf numFmtId="0" fontId="41" fillId="0" borderId="41" xfId="41" applyFont="1" applyBorder="1" applyAlignment="1">
      <alignment horizontal="center" vertical="center"/>
    </xf>
    <xf numFmtId="0" fontId="41" fillId="0" borderId="37" xfId="45" applyFont="1" applyBorder="1" applyAlignment="1">
      <alignment horizontal="center" vertical="center"/>
    </xf>
    <xf numFmtId="0" fontId="41" fillId="0" borderId="42" xfId="41" applyFont="1" applyBorder="1" applyAlignment="1">
      <alignment horizontal="center" vertical="center"/>
    </xf>
    <xf numFmtId="0" fontId="41" fillId="0" borderId="43" xfId="45" applyFont="1" applyBorder="1" applyAlignment="1">
      <alignment horizontal="center" vertical="center"/>
    </xf>
    <xf numFmtId="9" fontId="58" fillId="25" borderId="42" xfId="44" applyFont="1" applyFill="1" applyBorder="1" applyAlignment="1">
      <alignment horizontal="right" vertical="center"/>
    </xf>
    <xf numFmtId="9" fontId="58" fillId="25" borderId="33" xfId="44" applyFont="1" applyFill="1" applyBorder="1" applyAlignment="1">
      <alignment horizontal="right" vertical="center"/>
    </xf>
    <xf numFmtId="0" fontId="9" fillId="24" borderId="27" xfId="0" applyFont="1" applyFill="1" applyBorder="1" applyAlignment="1">
      <alignment horizontal="center" vertical="center" wrapText="1"/>
    </xf>
    <xf numFmtId="0" fontId="9" fillId="24" borderId="28" xfId="0" quotePrefix="1" applyFont="1" applyFill="1" applyBorder="1" applyAlignment="1">
      <alignment horizontal="center" vertical="center" wrapText="1"/>
    </xf>
    <xf numFmtId="0" fontId="9" fillId="24" borderId="20" xfId="0" applyFont="1" applyFill="1" applyBorder="1" applyAlignment="1">
      <alignment horizontal="center" vertical="center" wrapText="1"/>
    </xf>
    <xf numFmtId="0" fontId="9" fillId="24" borderId="21" xfId="0" applyFont="1" applyFill="1" applyBorder="1" applyAlignment="1">
      <alignment horizontal="center" vertical="center" wrapText="1"/>
    </xf>
    <xf numFmtId="165" fontId="38" fillId="0" borderId="41" xfId="29" applyNumberFormat="1" applyFont="1" applyFill="1" applyBorder="1" applyAlignment="1">
      <alignment horizontal="right" vertical="center"/>
    </xf>
    <xf numFmtId="165" fontId="38" fillId="0" borderId="37" xfId="29" applyNumberFormat="1" applyFont="1" applyFill="1" applyBorder="1" applyAlignment="1">
      <alignment horizontal="right" vertical="center"/>
    </xf>
    <xf numFmtId="0" fontId="9" fillId="24" borderId="21" xfId="0" quotePrefix="1" applyFont="1" applyFill="1" applyBorder="1" applyAlignment="1">
      <alignment horizontal="center" vertical="center" wrapText="1"/>
    </xf>
    <xf numFmtId="0" fontId="9" fillId="24" borderId="36" xfId="0" applyFont="1" applyFill="1" applyBorder="1" applyAlignment="1">
      <alignment horizontal="left" wrapText="1"/>
    </xf>
    <xf numFmtId="0" fontId="9" fillId="24" borderId="49" xfId="0" applyFont="1" applyFill="1" applyBorder="1" applyAlignment="1">
      <alignment horizontal="left" wrapText="1"/>
    </xf>
    <xf numFmtId="0" fontId="9" fillId="24" borderId="48" xfId="0" applyFont="1" applyFill="1" applyBorder="1" applyAlignment="1">
      <alignment horizontal="left" wrapText="1"/>
    </xf>
    <xf numFmtId="14" fontId="0" fillId="0" borderId="0" xfId="0" applyNumberFormat="1"/>
    <xf numFmtId="9" fontId="38" fillId="0" borderId="42" xfId="44" applyFont="1" applyFill="1" applyBorder="1" applyAlignment="1">
      <alignment horizontal="right" vertical="center"/>
    </xf>
    <xf numFmtId="9" fontId="38" fillId="0" borderId="40" xfId="44" applyFont="1" applyFill="1" applyBorder="1" applyAlignment="1">
      <alignment vertical="center"/>
    </xf>
    <xf numFmtId="0" fontId="59" fillId="0" borderId="0" xfId="0" quotePrefix="1" applyFont="1" applyAlignment="1">
      <alignment horizontal="left"/>
    </xf>
    <xf numFmtId="0" fontId="9" fillId="24" borderId="20" xfId="0" quotePrefix="1" applyFont="1" applyFill="1" applyBorder="1" applyAlignment="1">
      <alignment horizontal="center" vertical="center" wrapText="1"/>
    </xf>
    <xf numFmtId="0" fontId="58" fillId="0" borderId="34" xfId="45" applyFont="1" applyBorder="1" applyAlignment="1">
      <alignment horizontal="center" vertical="center" wrapText="1"/>
    </xf>
    <xf numFmtId="178" fontId="7" fillId="0" borderId="0" xfId="41" applyNumberFormat="1" applyFont="1" applyAlignment="1"/>
    <xf numFmtId="177" fontId="38" fillId="25" borderId="42" xfId="44" applyNumberFormat="1" applyFont="1" applyFill="1" applyBorder="1" applyAlignment="1">
      <alignment horizontal="right" vertical="center"/>
    </xf>
    <xf numFmtId="177" fontId="38" fillId="25" borderId="33" xfId="44" applyNumberFormat="1" applyFont="1" applyFill="1" applyBorder="1" applyAlignment="1">
      <alignment horizontal="right" vertical="center"/>
    </xf>
    <xf numFmtId="165" fontId="38" fillId="25" borderId="33" xfId="29" applyNumberFormat="1" applyFont="1" applyFill="1" applyBorder="1" applyAlignment="1">
      <alignment horizontal="right" vertical="center"/>
    </xf>
    <xf numFmtId="10" fontId="38" fillId="0" borderId="34" xfId="45" applyNumberFormat="1" applyFont="1" applyBorder="1" applyAlignment="1">
      <alignment horizontal="center" vertical="center" wrapText="1"/>
    </xf>
    <xf numFmtId="0" fontId="50" fillId="0" borderId="12" xfId="0" applyFont="1" applyBorder="1" applyAlignment="1">
      <alignment horizontal="center" vertical="center"/>
    </xf>
    <xf numFmtId="0" fontId="50" fillId="0" borderId="12" xfId="0" applyFont="1" applyBorder="1" applyAlignment="1">
      <alignment horizontal="left" vertical="center" wrapText="1"/>
    </xf>
    <xf numFmtId="44" fontId="50" fillId="0" borderId="12" xfId="29" applyFont="1" applyBorder="1" applyAlignment="1">
      <alignment horizontal="center" vertical="center" wrapText="1"/>
    </xf>
    <xf numFmtId="165" fontId="50" fillId="0" borderId="12" xfId="29" applyNumberFormat="1" applyFont="1" applyBorder="1" applyAlignment="1">
      <alignment horizontal="left"/>
    </xf>
    <xf numFmtId="165" fontId="38" fillId="27" borderId="42" xfId="29" applyNumberFormat="1" applyFont="1" applyFill="1" applyBorder="1" applyAlignment="1">
      <alignment horizontal="right" vertical="center"/>
    </xf>
    <xf numFmtId="0" fontId="41" fillId="26" borderId="42" xfId="45" applyFont="1" applyFill="1" applyBorder="1" applyAlignment="1">
      <alignment horizontal="center" vertical="center"/>
    </xf>
    <xf numFmtId="0" fontId="7" fillId="26" borderId="0" xfId="45" applyFont="1" applyFill="1">
      <alignment vertical="top"/>
    </xf>
    <xf numFmtId="166" fontId="38" fillId="0" borderId="38" xfId="39" applyNumberFormat="1" applyFont="1" applyBorder="1" applyAlignment="1">
      <alignment horizontal="left"/>
    </xf>
    <xf numFmtId="0" fontId="38" fillId="0" borderId="19" xfId="0" applyFont="1" applyBorder="1" applyAlignment="1">
      <alignment horizontal="left"/>
    </xf>
    <xf numFmtId="3" fontId="41" fillId="0" borderId="24" xfId="0" applyNumberFormat="1" applyFont="1" applyBorder="1" applyAlignment="1">
      <alignment horizontal="left"/>
    </xf>
    <xf numFmtId="0" fontId="52" fillId="0" borderId="0" xfId="0" applyFont="1" applyAlignment="1">
      <alignment horizontal="left"/>
    </xf>
    <xf numFmtId="0" fontId="41" fillId="0" borderId="0" xfId="0" applyFont="1"/>
    <xf numFmtId="9" fontId="41" fillId="0" borderId="18" xfId="44" applyFont="1" applyFill="1" applyBorder="1" applyAlignment="1">
      <alignment horizontal="right"/>
    </xf>
    <xf numFmtId="44" fontId="50" fillId="0" borderId="12" xfId="29" quotePrefix="1" applyFont="1" applyFill="1" applyBorder="1" applyAlignment="1">
      <alignment horizontal="center" vertical="center" wrapText="1"/>
    </xf>
    <xf numFmtId="14" fontId="41" fillId="0" borderId="53" xfId="0" applyNumberFormat="1" applyFont="1" applyBorder="1" applyAlignment="1">
      <alignment horizontal="center" vertical="center"/>
    </xf>
    <xf numFmtId="14" fontId="41" fillId="26" borderId="53" xfId="0" applyNumberFormat="1" applyFont="1" applyFill="1" applyBorder="1" applyAlignment="1">
      <alignment horizontal="center" vertical="center"/>
    </xf>
    <xf numFmtId="0" fontId="41" fillId="26" borderId="53" xfId="0" applyFont="1" applyFill="1" applyBorder="1" applyAlignment="1">
      <alignment horizontal="center" vertical="center"/>
    </xf>
    <xf numFmtId="0" fontId="41" fillId="26" borderId="53" xfId="0" applyFont="1" applyFill="1" applyBorder="1" applyAlignment="1">
      <alignment horizontal="left" vertical="center"/>
    </xf>
    <xf numFmtId="0" fontId="41" fillId="0" borderId="53" xfId="0" applyFont="1" applyBorder="1" applyAlignment="1">
      <alignment horizontal="left" vertical="center" wrapText="1"/>
    </xf>
    <xf numFmtId="0" fontId="41" fillId="0" borderId="53" xfId="0" applyFont="1" applyBorder="1" applyAlignment="1">
      <alignment horizontal="left" vertical="center"/>
    </xf>
    <xf numFmtId="0" fontId="41" fillId="26" borderId="53" xfId="0" quotePrefix="1" applyFont="1" applyFill="1" applyBorder="1" applyAlignment="1">
      <alignment horizontal="left" vertical="center"/>
    </xf>
    <xf numFmtId="165" fontId="41" fillId="26" borderId="53" xfId="29" applyNumberFormat="1" applyFont="1" applyFill="1" applyBorder="1" applyAlignment="1">
      <alignment horizontal="center" vertical="center"/>
    </xf>
    <xf numFmtId="0" fontId="41" fillId="0" borderId="15" xfId="0" applyFont="1" applyBorder="1" applyAlignment="1">
      <alignment horizontal="left"/>
    </xf>
    <xf numFmtId="166" fontId="39" fillId="0" borderId="38" xfId="39" applyNumberFormat="1" applyFont="1" applyBorder="1" applyAlignment="1">
      <alignment horizontal="left"/>
    </xf>
    <xf numFmtId="0" fontId="56" fillId="25" borderId="20" xfId="0" applyFont="1" applyFill="1" applyBorder="1" applyAlignment="1">
      <alignment horizontal="left"/>
    </xf>
    <xf numFmtId="0" fontId="41" fillId="25" borderId="20" xfId="28" applyNumberFormat="1" applyFont="1" applyFill="1" applyBorder="1" applyAlignment="1">
      <alignment horizontal="center"/>
    </xf>
    <xf numFmtId="171" fontId="58" fillId="25" borderId="20" xfId="29" applyNumberFormat="1" applyFont="1" applyFill="1" applyBorder="1" applyAlignment="1">
      <alignment horizontal="right"/>
    </xf>
    <xf numFmtId="171" fontId="38" fillId="25" borderId="20" xfId="29" applyNumberFormat="1" applyFont="1" applyFill="1" applyBorder="1" applyAlignment="1">
      <alignment horizontal="right"/>
    </xf>
    <xf numFmtId="9" fontId="38" fillId="25" borderId="20" xfId="44" applyFont="1" applyFill="1" applyBorder="1" applyAlignment="1">
      <alignment horizontal="right"/>
    </xf>
    <xf numFmtId="0" fontId="38" fillId="25" borderId="21" xfId="0" applyFont="1" applyFill="1" applyBorder="1" applyAlignment="1">
      <alignment horizontal="center"/>
    </xf>
    <xf numFmtId="0" fontId="41" fillId="0" borderId="0" xfId="45" applyFont="1" applyAlignment="1">
      <alignment vertical="top" wrapText="1"/>
    </xf>
    <xf numFmtId="0" fontId="38" fillId="0" borderId="0" xfId="45" applyFont="1" applyAlignment="1">
      <alignment horizontal="center" wrapText="1"/>
    </xf>
    <xf numFmtId="0" fontId="38" fillId="0" borderId="33" xfId="45" applyFont="1" applyBorder="1" applyAlignment="1">
      <alignment horizontal="center" vertical="center"/>
    </xf>
    <xf numFmtId="6" fontId="38" fillId="0" borderId="33" xfId="28" applyNumberFormat="1" applyFont="1" applyBorder="1" applyAlignment="1">
      <alignment horizontal="center" vertical="center"/>
    </xf>
    <xf numFmtId="0" fontId="38" fillId="0" borderId="34" xfId="45" applyFont="1" applyBorder="1" applyAlignment="1">
      <alignment horizontal="center" vertical="center" wrapText="1"/>
    </xf>
    <xf numFmtId="0" fontId="38" fillId="0" borderId="34" xfId="45" applyFont="1" applyBorder="1" applyAlignment="1">
      <alignment horizontal="center" vertical="center"/>
    </xf>
    <xf numFmtId="6" fontId="38" fillId="0" borderId="34" xfId="28" applyNumberFormat="1" applyFont="1" applyBorder="1" applyAlignment="1">
      <alignment horizontal="center" vertical="center"/>
    </xf>
    <xf numFmtId="0" fontId="40" fillId="0" borderId="0" xfId="45" applyFont="1">
      <alignment vertical="top"/>
    </xf>
    <xf numFmtId="0" fontId="9" fillId="0" borderId="0" xfId="0" applyFont="1" applyAlignment="1">
      <alignment horizontal="center" vertical="center"/>
    </xf>
    <xf numFmtId="165" fontId="41" fillId="0" borderId="45" xfId="29" applyNumberFormat="1" applyFont="1" applyFill="1" applyBorder="1" applyAlignment="1">
      <alignment horizontal="left"/>
    </xf>
    <xf numFmtId="0" fontId="7" fillId="0" borderId="0" xfId="41" applyFont="1" applyAlignment="1">
      <alignment horizontal="center"/>
    </xf>
    <xf numFmtId="0" fontId="41" fillId="0" borderId="45" xfId="0" quotePrefix="1" applyFont="1" applyBorder="1" applyAlignment="1">
      <alignment horizontal="left" vertical="center"/>
    </xf>
    <xf numFmtId="166" fontId="39" fillId="0" borderId="38" xfId="39" applyNumberFormat="1" applyFont="1" applyBorder="1" applyAlignment="1">
      <alignment horizontal="left" wrapText="1"/>
    </xf>
    <xf numFmtId="0" fontId="41" fillId="0" borderId="22" xfId="0" applyFont="1" applyBorder="1" applyAlignment="1">
      <alignment vertical="center"/>
    </xf>
    <xf numFmtId="0" fontId="62" fillId="0" borderId="0" xfId="0" applyFont="1"/>
    <xf numFmtId="0" fontId="41" fillId="0" borderId="22" xfId="0" quotePrefix="1" applyFont="1" applyBorder="1" applyAlignment="1">
      <alignment horizontal="left" vertical="center"/>
    </xf>
    <xf numFmtId="166" fontId="39" fillId="0" borderId="38" xfId="39" applyNumberFormat="1" applyFont="1" applyBorder="1" applyAlignment="1">
      <alignment horizontal="left" vertical="center" wrapText="1"/>
    </xf>
    <xf numFmtId="165" fontId="7" fillId="0" borderId="0" xfId="29" applyNumberFormat="1" applyFill="1" applyBorder="1" applyAlignment="1">
      <alignment vertical="center"/>
    </xf>
    <xf numFmtId="0" fontId="0" fillId="0" borderId="0" xfId="0" applyAlignment="1">
      <alignment vertical="center"/>
    </xf>
    <xf numFmtId="0" fontId="41" fillId="0" borderId="25" xfId="39" applyFont="1" applyBorder="1" applyAlignment="1">
      <alignment horizontal="center" vertical="center"/>
    </xf>
    <xf numFmtId="0" fontId="41" fillId="0" borderId="14" xfId="39" applyFont="1" applyBorder="1" applyAlignment="1">
      <alignment horizontal="center" vertical="center"/>
    </xf>
    <xf numFmtId="166" fontId="39" fillId="0" borderId="38" xfId="39" quotePrefix="1" applyNumberFormat="1" applyFont="1" applyBorder="1" applyAlignment="1">
      <alignment horizontal="left"/>
    </xf>
    <xf numFmtId="166" fontId="39" fillId="0" borderId="38" xfId="39" quotePrefix="1" applyNumberFormat="1" applyFont="1" applyBorder="1" applyAlignment="1">
      <alignment horizontal="left" wrapText="1"/>
    </xf>
    <xf numFmtId="165" fontId="41" fillId="28" borderId="45" xfId="29" applyNumberFormat="1" applyFont="1" applyFill="1" applyBorder="1" applyAlignment="1">
      <alignment horizontal="left"/>
    </xf>
    <xf numFmtId="165" fontId="38" fillId="25" borderId="10" xfId="29" applyNumberFormat="1" applyFont="1" applyFill="1" applyBorder="1" applyAlignment="1">
      <alignment horizontal="right" vertical="center"/>
    </xf>
    <xf numFmtId="0" fontId="41" fillId="0" borderId="55" xfId="45" applyFont="1" applyBorder="1" applyAlignment="1">
      <alignment horizontal="center" vertical="center"/>
    </xf>
    <xf numFmtId="176" fontId="41" fillId="0" borderId="56" xfId="28" applyNumberFormat="1" applyFont="1" applyFill="1" applyBorder="1" applyAlignment="1">
      <alignment horizontal="center" vertical="center"/>
    </xf>
    <xf numFmtId="165" fontId="38" fillId="25" borderId="56" xfId="29" applyNumberFormat="1" applyFont="1" applyFill="1" applyBorder="1" applyAlignment="1">
      <alignment horizontal="right" vertical="center"/>
    </xf>
    <xf numFmtId="165" fontId="38" fillId="25" borderId="57" xfId="29" applyNumberFormat="1" applyFont="1" applyFill="1" applyBorder="1" applyAlignment="1">
      <alignment horizontal="right" vertical="center"/>
    </xf>
    <xf numFmtId="165" fontId="38" fillId="0" borderId="57" xfId="29" applyNumberFormat="1" applyFont="1" applyFill="1" applyBorder="1" applyAlignment="1">
      <alignment horizontal="right" vertical="center"/>
    </xf>
    <xf numFmtId="165" fontId="38" fillId="0" borderId="58" xfId="29" applyNumberFormat="1" applyFont="1" applyFill="1" applyBorder="1" applyAlignment="1">
      <alignment horizontal="right" vertical="center"/>
    </xf>
    <xf numFmtId="165" fontId="38" fillId="0" borderId="27" xfId="29" applyNumberFormat="1" applyFont="1" applyFill="1" applyBorder="1" applyAlignment="1">
      <alignment horizontal="right" vertical="center"/>
    </xf>
    <xf numFmtId="0" fontId="39" fillId="0" borderId="29" xfId="45" applyFont="1" applyBorder="1" applyAlignment="1">
      <alignment horizontal="center" vertical="center"/>
    </xf>
    <xf numFmtId="9" fontId="38" fillId="0" borderId="40" xfId="44" applyFont="1" applyFill="1" applyBorder="1" applyAlignment="1">
      <alignment horizontal="center" vertical="center"/>
    </xf>
    <xf numFmtId="9" fontId="38" fillId="0" borderId="42" xfId="44" applyFont="1" applyFill="1" applyBorder="1" applyAlignment="1">
      <alignment horizontal="center" vertical="center"/>
    </xf>
    <xf numFmtId="177" fontId="38" fillId="0" borderId="42" xfId="44" applyNumberFormat="1" applyFont="1" applyFill="1" applyBorder="1" applyAlignment="1">
      <alignment horizontal="right" vertical="center"/>
    </xf>
    <xf numFmtId="177" fontId="38" fillId="0" borderId="33" xfId="44" applyNumberFormat="1" applyFont="1" applyFill="1" applyBorder="1" applyAlignment="1">
      <alignment horizontal="right" vertical="center"/>
    </xf>
    <xf numFmtId="0" fontId="41" fillId="0" borderId="59" xfId="45" applyFont="1" applyBorder="1" applyAlignment="1">
      <alignment horizontal="center" vertical="center"/>
    </xf>
    <xf numFmtId="0" fontId="41" fillId="0" borderId="12" xfId="0" applyFont="1" applyBorder="1"/>
    <xf numFmtId="14" fontId="41" fillId="26" borderId="60" xfId="0" applyNumberFormat="1" applyFont="1" applyFill="1" applyBorder="1" applyAlignment="1">
      <alignment horizontal="center" vertical="center"/>
    </xf>
    <xf numFmtId="14" fontId="41" fillId="26" borderId="12" xfId="0" applyNumberFormat="1" applyFont="1" applyFill="1" applyBorder="1" applyAlignment="1">
      <alignment horizontal="center" vertical="center"/>
    </xf>
    <xf numFmtId="14" fontId="39" fillId="0" borderId="54" xfId="0" applyNumberFormat="1" applyFont="1" applyBorder="1" applyAlignment="1">
      <alignment horizontal="center"/>
    </xf>
    <xf numFmtId="9" fontId="38" fillId="0" borderId="42" xfId="44" applyFont="1" applyBorder="1" applyAlignment="1">
      <alignment horizontal="right" vertical="center"/>
    </xf>
    <xf numFmtId="179" fontId="40" fillId="0" borderId="0" xfId="45" applyNumberFormat="1" applyFont="1">
      <alignment vertical="top"/>
    </xf>
    <xf numFmtId="10" fontId="38" fillId="0" borderId="42" xfId="44" applyNumberFormat="1" applyFont="1" applyFill="1" applyBorder="1" applyAlignment="1">
      <alignment horizontal="right" vertical="center"/>
    </xf>
    <xf numFmtId="0" fontId="41" fillId="0" borderId="60" xfId="0" applyFont="1" applyBorder="1" applyAlignment="1">
      <alignment horizontal="center" vertical="center"/>
    </xf>
    <xf numFmtId="165" fontId="65" fillId="0" borderId="12" xfId="29" applyNumberFormat="1" applyFont="1" applyFill="1" applyBorder="1" applyAlignment="1">
      <alignment horizontal="right" vertical="center"/>
    </xf>
    <xf numFmtId="165" fontId="65" fillId="0" borderId="10" xfId="29" applyNumberFormat="1" applyFont="1" applyFill="1" applyBorder="1" applyAlignment="1">
      <alignment horizontal="right" vertical="center"/>
    </xf>
    <xf numFmtId="165" fontId="65" fillId="0" borderId="37" xfId="29" applyNumberFormat="1" applyFont="1" applyFill="1" applyBorder="1" applyAlignment="1">
      <alignment horizontal="right" vertical="center"/>
    </xf>
    <xf numFmtId="165" fontId="66" fillId="0" borderId="42" xfId="29" applyNumberFormat="1" applyFont="1" applyFill="1" applyBorder="1" applyAlignment="1">
      <alignment horizontal="right" vertical="center"/>
    </xf>
    <xf numFmtId="165" fontId="65" fillId="0" borderId="42" xfId="29" applyNumberFormat="1" applyFont="1" applyFill="1" applyBorder="1" applyAlignment="1">
      <alignment horizontal="right" vertical="center"/>
    </xf>
    <xf numFmtId="165" fontId="66" fillId="0" borderId="42" xfId="29" applyNumberFormat="1" applyFont="1" applyBorder="1" applyAlignment="1">
      <alignment horizontal="right" vertical="center"/>
    </xf>
    <xf numFmtId="165" fontId="41" fillId="0" borderId="53" xfId="29" applyNumberFormat="1" applyFont="1" applyFill="1" applyBorder="1" applyAlignment="1">
      <alignment horizontal="center" vertical="center"/>
    </xf>
    <xf numFmtId="165" fontId="41" fillId="0" borderId="60" xfId="29" applyNumberFormat="1" applyFont="1" applyFill="1" applyBorder="1" applyAlignment="1">
      <alignment horizontal="center" vertical="center"/>
    </xf>
    <xf numFmtId="14" fontId="41" fillId="0" borderId="12" xfId="0" applyNumberFormat="1" applyFont="1" applyBorder="1" applyAlignment="1">
      <alignment horizontal="center" vertical="center"/>
    </xf>
    <xf numFmtId="0" fontId="41" fillId="0" borderId="15" xfId="0" applyFont="1" applyBorder="1" applyAlignment="1">
      <alignment horizontal="left" vertical="center"/>
    </xf>
    <xf numFmtId="0" fontId="41" fillId="0" borderId="14" xfId="0" quotePrefix="1" applyFont="1" applyBorder="1" applyAlignment="1">
      <alignment horizontal="left" vertical="center"/>
    </xf>
    <xf numFmtId="0" fontId="41" fillId="0" borderId="14" xfId="0" applyFont="1" applyBorder="1" applyAlignment="1">
      <alignment vertical="center"/>
    </xf>
    <xf numFmtId="5" fontId="7" fillId="0" borderId="0" xfId="28" applyNumberFormat="1" applyFont="1" applyFill="1"/>
    <xf numFmtId="0" fontId="41" fillId="29" borderId="53" xfId="0" applyFont="1" applyFill="1" applyBorder="1" applyAlignment="1">
      <alignment horizontal="left" vertical="center" wrapText="1"/>
    </xf>
    <xf numFmtId="9" fontId="38" fillId="0" borderId="42" xfId="44" applyFont="1" applyBorder="1" applyAlignment="1">
      <alignment horizontal="center" vertical="center"/>
    </xf>
    <xf numFmtId="176" fontId="41" fillId="26" borderId="59" xfId="28" applyNumberFormat="1" applyFont="1" applyFill="1" applyBorder="1" applyAlignment="1">
      <alignment horizontal="center" vertical="center"/>
    </xf>
    <xf numFmtId="165" fontId="65" fillId="27" borderId="33" xfId="29" applyNumberFormat="1" applyFont="1" applyFill="1" applyBorder="1" applyAlignment="1">
      <alignment horizontal="right" vertical="center"/>
    </xf>
    <xf numFmtId="165" fontId="38" fillId="0" borderId="42" xfId="29" applyNumberFormat="1" applyFont="1" applyBorder="1" applyAlignment="1">
      <alignment horizontal="right" vertical="center"/>
    </xf>
    <xf numFmtId="0" fontId="0" fillId="0" borderId="0" xfId="41" applyFont="1" applyAlignment="1"/>
    <xf numFmtId="0" fontId="0" fillId="0" borderId="0" xfId="45" applyFont="1">
      <alignment vertical="top"/>
    </xf>
    <xf numFmtId="169" fontId="0" fillId="0" borderId="0" xfId="41" applyNumberFormat="1" applyFont="1" applyAlignment="1"/>
    <xf numFmtId="176" fontId="41" fillId="0" borderId="41" xfId="28" applyNumberFormat="1" applyFont="1" applyBorder="1" applyAlignment="1">
      <alignment horizontal="center" vertical="center"/>
    </xf>
    <xf numFmtId="164" fontId="0" fillId="0" borderId="0" xfId="28" applyNumberFormat="1" applyFont="1"/>
    <xf numFmtId="176" fontId="41" fillId="0" borderId="37" xfId="28" applyNumberFormat="1" applyFont="1" applyBorder="1" applyAlignment="1">
      <alignment horizontal="center" vertical="center"/>
    </xf>
    <xf numFmtId="165" fontId="39" fillId="0" borderId="42" xfId="29" applyNumberFormat="1" applyFont="1" applyBorder="1" applyAlignment="1">
      <alignment horizontal="right" vertical="center"/>
    </xf>
    <xf numFmtId="176" fontId="41" fillId="0" borderId="12" xfId="28" applyNumberFormat="1" applyFont="1" applyBorder="1" applyAlignment="1">
      <alignment horizontal="center" vertical="center"/>
    </xf>
    <xf numFmtId="165" fontId="65" fillId="0" borderId="42" xfId="29" applyNumberFormat="1" applyFont="1" applyBorder="1" applyAlignment="1">
      <alignment horizontal="right" vertical="center"/>
    </xf>
    <xf numFmtId="176" fontId="41" fillId="0" borderId="42" xfId="28" applyNumberFormat="1" applyFont="1" applyBorder="1" applyAlignment="1">
      <alignment horizontal="center" vertical="center"/>
    </xf>
    <xf numFmtId="164" fontId="0" fillId="0" borderId="0" xfId="45" applyNumberFormat="1" applyFont="1">
      <alignment vertical="top"/>
    </xf>
    <xf numFmtId="168" fontId="0" fillId="0" borderId="0" xfId="45" applyNumberFormat="1" applyFont="1">
      <alignment vertical="top"/>
    </xf>
    <xf numFmtId="177" fontId="38" fillId="0" borderId="42" xfId="44" applyNumberFormat="1" applyFont="1" applyBorder="1" applyAlignment="1">
      <alignment horizontal="right" vertical="center"/>
    </xf>
    <xf numFmtId="176" fontId="41" fillId="0" borderId="43" xfId="28" applyNumberFormat="1" applyFont="1" applyBorder="1" applyAlignment="1">
      <alignment horizontal="center" vertical="center"/>
    </xf>
    <xf numFmtId="177" fontId="38" fillId="0" borderId="33" xfId="44" applyNumberFormat="1" applyFont="1" applyBorder="1" applyAlignment="1">
      <alignment horizontal="right" vertical="center"/>
    </xf>
    <xf numFmtId="165" fontId="38" fillId="0" borderId="40" xfId="29" applyNumberFormat="1" applyFont="1" applyBorder="1" applyAlignment="1">
      <alignment horizontal="right" vertical="center"/>
    </xf>
    <xf numFmtId="0" fontId="0" fillId="0" borderId="0" xfId="45" applyFont="1" applyAlignment="1">
      <alignment horizontal="center"/>
    </xf>
    <xf numFmtId="44" fontId="0" fillId="0" borderId="0" xfId="29" applyFont="1"/>
    <xf numFmtId="170" fontId="0" fillId="0" borderId="0" xfId="29" applyNumberFormat="1" applyFont="1"/>
    <xf numFmtId="171" fontId="0" fillId="0" borderId="0" xfId="45" applyNumberFormat="1" applyFont="1">
      <alignment vertical="top"/>
    </xf>
    <xf numFmtId="173" fontId="0" fillId="0" borderId="0" xfId="45" applyNumberFormat="1" applyFont="1">
      <alignment vertical="top"/>
    </xf>
    <xf numFmtId="174" fontId="0" fillId="0" borderId="0" xfId="45" applyNumberFormat="1" applyFont="1">
      <alignment vertical="top"/>
    </xf>
    <xf numFmtId="164" fontId="0" fillId="0" borderId="0" xfId="41" applyNumberFormat="1" applyFont="1" applyAlignment="1"/>
    <xf numFmtId="167" fontId="0" fillId="0" borderId="0" xfId="41" applyNumberFormat="1" applyFont="1" applyAlignment="1"/>
    <xf numFmtId="178" fontId="0" fillId="0" borderId="0" xfId="41" applyNumberFormat="1" applyFont="1" applyAlignment="1"/>
    <xf numFmtId="165" fontId="38" fillId="0" borderId="47" xfId="29" applyNumberFormat="1" applyFont="1" applyBorder="1" applyAlignment="1">
      <alignment horizontal="right" vertical="center"/>
    </xf>
    <xf numFmtId="165" fontId="38" fillId="0" borderId="10" xfId="29" applyNumberFormat="1" applyFont="1" applyBorder="1" applyAlignment="1">
      <alignment horizontal="right" vertical="center"/>
    </xf>
    <xf numFmtId="165" fontId="65" fillId="0" borderId="10" xfId="29" applyNumberFormat="1" applyFont="1" applyBorder="1" applyAlignment="1">
      <alignment horizontal="right" vertical="center"/>
    </xf>
    <xf numFmtId="171" fontId="38" fillId="0" borderId="56" xfId="29" applyNumberFormat="1" applyFont="1" applyFill="1" applyBorder="1" applyAlignment="1">
      <alignment horizontal="right"/>
    </xf>
    <xf numFmtId="0" fontId="41" fillId="0" borderId="0" xfId="28" applyNumberFormat="1" applyFont="1" applyBorder="1" applyAlignment="1">
      <alignment horizontal="center"/>
    </xf>
    <xf numFmtId="3" fontId="41" fillId="0" borderId="0" xfId="0" applyNumberFormat="1" applyFont="1" applyAlignment="1">
      <alignment horizontal="center"/>
    </xf>
    <xf numFmtId="0" fontId="8" fillId="0" borderId="0" xfId="0" applyFont="1"/>
    <xf numFmtId="165" fontId="41" fillId="0" borderId="0" xfId="29" applyNumberFormat="1" applyFont="1" applyFill="1" applyBorder="1"/>
    <xf numFmtId="9" fontId="41" fillId="0" borderId="0" xfId="44" applyFont="1" applyFill="1" applyBorder="1" applyAlignment="1">
      <alignment horizontal="right"/>
    </xf>
    <xf numFmtId="0" fontId="38" fillId="0" borderId="35" xfId="41" applyFont="1" applyBorder="1" applyAlignment="1">
      <alignment horizontal="center"/>
    </xf>
    <xf numFmtId="165" fontId="65" fillId="27" borderId="37" xfId="29" applyNumberFormat="1" applyFont="1" applyFill="1" applyBorder="1" applyAlignment="1">
      <alignment horizontal="right" vertical="center"/>
    </xf>
    <xf numFmtId="165" fontId="41" fillId="0" borderId="40" xfId="29" applyNumberFormat="1" applyFont="1" applyFill="1" applyBorder="1" applyAlignment="1">
      <alignment horizontal="center" vertical="center"/>
    </xf>
    <xf numFmtId="9" fontId="38" fillId="25" borderId="42" xfId="44" applyFont="1" applyFill="1" applyBorder="1" applyAlignment="1">
      <alignment horizontal="right" vertical="center"/>
    </xf>
    <xf numFmtId="0" fontId="50" fillId="0" borderId="12" xfId="0" applyFont="1" applyBorder="1" applyAlignment="1">
      <alignment horizontal="center"/>
    </xf>
    <xf numFmtId="14" fontId="41" fillId="0" borderId="63" xfId="0" applyNumberFormat="1" applyFont="1" applyBorder="1" applyAlignment="1">
      <alignment horizontal="center" vertical="center"/>
    </xf>
    <xf numFmtId="14" fontId="41" fillId="26" borderId="63" xfId="0" applyNumberFormat="1" applyFont="1" applyFill="1" applyBorder="1" applyAlignment="1">
      <alignment horizontal="center" vertical="center"/>
    </xf>
    <xf numFmtId="164" fontId="62" fillId="0" borderId="44" xfId="28" applyNumberFormat="1" applyFont="1" applyFill="1" applyBorder="1" applyAlignment="1"/>
    <xf numFmtId="164" fontId="62" fillId="0" borderId="0" xfId="28" applyNumberFormat="1" applyFont="1" applyFill="1" applyAlignment="1"/>
    <xf numFmtId="165" fontId="38" fillId="0" borderId="36" xfId="29" applyNumberFormat="1" applyFont="1" applyFill="1" applyBorder="1" applyAlignment="1">
      <alignment horizontal="right" vertical="center"/>
    </xf>
    <xf numFmtId="9" fontId="7" fillId="0" borderId="0" xfId="44" applyFont="1" applyAlignment="1"/>
    <xf numFmtId="164" fontId="62" fillId="0" borderId="0" xfId="45" applyNumberFormat="1" applyFont="1">
      <alignment vertical="top"/>
    </xf>
    <xf numFmtId="164" fontId="62" fillId="0" borderId="0" xfId="28" applyNumberFormat="1" applyFont="1" applyFill="1"/>
    <xf numFmtId="7" fontId="67" fillId="0" borderId="0" xfId="41" applyNumberFormat="1" applyFont="1" applyAlignment="1"/>
    <xf numFmtId="164" fontId="7" fillId="0" borderId="0" xfId="28" applyNumberFormat="1" applyFont="1" applyFill="1"/>
    <xf numFmtId="0" fontId="41" fillId="0" borderId="0" xfId="39" applyFont="1" applyAlignment="1">
      <alignment horizontal="center" vertical="center"/>
    </xf>
    <xf numFmtId="0" fontId="41" fillId="0" borderId="0" xfId="39" quotePrefix="1" applyFont="1" applyAlignment="1">
      <alignment horizontal="left" vertical="center" wrapText="1"/>
    </xf>
    <xf numFmtId="0" fontId="41" fillId="0" borderId="64" xfId="39" applyFont="1" applyBorder="1" applyAlignment="1">
      <alignment horizontal="center" vertical="center"/>
    </xf>
    <xf numFmtId="0" fontId="41" fillId="0" borderId="57" xfId="39" quotePrefix="1" applyFont="1" applyBorder="1" applyAlignment="1">
      <alignment horizontal="left" vertical="center" wrapText="1"/>
    </xf>
    <xf numFmtId="0" fontId="41" fillId="0" borderId="65" xfId="39" applyFont="1" applyBorder="1" applyAlignment="1">
      <alignment horizontal="left" vertical="center" wrapText="1"/>
    </xf>
    <xf numFmtId="0" fontId="41" fillId="0" borderId="66" xfId="39" applyFont="1" applyBorder="1" applyAlignment="1">
      <alignment horizontal="left" vertical="center" wrapText="1"/>
    </xf>
    <xf numFmtId="164" fontId="0" fillId="0" borderId="0" xfId="28" applyNumberFormat="1" applyFont="1" applyFill="1"/>
    <xf numFmtId="9" fontId="38" fillId="0" borderId="42" xfId="44" applyFont="1" applyFill="1" applyBorder="1" applyAlignment="1">
      <alignment horizontal="center" vertical="center" wrapText="1"/>
    </xf>
    <xf numFmtId="0" fontId="41" fillId="0" borderId="57" xfId="39" quotePrefix="1" applyFont="1" applyBorder="1" applyAlignment="1">
      <alignment horizontal="left" vertical="center"/>
    </xf>
    <xf numFmtId="0" fontId="41" fillId="0" borderId="13" xfId="39" applyFont="1" applyBorder="1" applyAlignment="1">
      <alignment horizontal="center" vertical="center"/>
    </xf>
    <xf numFmtId="0" fontId="7" fillId="0" borderId="0" xfId="0" applyFont="1"/>
    <xf numFmtId="164" fontId="41" fillId="0" borderId="0" xfId="41" applyNumberFormat="1" applyFont="1" applyAlignment="1"/>
    <xf numFmtId="165" fontId="41" fillId="0" borderId="0" xfId="41" applyNumberFormat="1" applyFont="1" applyAlignment="1"/>
    <xf numFmtId="164" fontId="62" fillId="0" borderId="0" xfId="28" applyNumberFormat="1" applyFont="1"/>
    <xf numFmtId="165" fontId="0" fillId="0" borderId="0" xfId="0" applyNumberFormat="1"/>
    <xf numFmtId="0" fontId="41" fillId="0" borderId="18" xfId="0" applyFont="1" applyBorder="1" applyAlignment="1">
      <alignment horizontal="center" vertical="center" wrapText="1"/>
    </xf>
    <xf numFmtId="0" fontId="41" fillId="0" borderId="12" xfId="0" applyFont="1" applyBorder="1" applyAlignment="1">
      <alignment horizontal="center"/>
    </xf>
    <xf numFmtId="0" fontId="41" fillId="0" borderId="12" xfId="0" applyFont="1" applyBorder="1" applyAlignment="1">
      <alignment horizontal="center" vertical="center"/>
    </xf>
    <xf numFmtId="166" fontId="68" fillId="0" borderId="67" xfId="39" applyNumberFormat="1" applyFont="1" applyBorder="1" applyAlignment="1">
      <alignment horizontal="center"/>
    </xf>
    <xf numFmtId="9" fontId="38" fillId="0" borderId="40" xfId="44" applyFont="1" applyBorder="1" applyAlignment="1">
      <alignment vertical="center"/>
    </xf>
    <xf numFmtId="166" fontId="38" fillId="0" borderId="67" xfId="39" applyNumberFormat="1" applyFont="1" applyBorder="1" applyAlignment="1">
      <alignment horizontal="center"/>
    </xf>
    <xf numFmtId="0" fontId="41" fillId="0" borderId="53" xfId="0" applyFont="1" applyBorder="1" applyAlignment="1">
      <alignment horizontal="center" vertical="center"/>
    </xf>
    <xf numFmtId="10" fontId="38" fillId="0" borderId="33" xfId="44" applyNumberFormat="1" applyFont="1" applyFill="1" applyBorder="1" applyAlignment="1">
      <alignment horizontal="right" vertical="center"/>
    </xf>
    <xf numFmtId="166" fontId="38" fillId="0" borderId="38" xfId="39" applyNumberFormat="1" applyFont="1" applyBorder="1" applyAlignment="1">
      <alignment horizontal="left" vertical="center"/>
    </xf>
    <xf numFmtId="165" fontId="41" fillId="0" borderId="53" xfId="29" applyNumberFormat="1" applyFont="1" applyBorder="1" applyAlignment="1">
      <alignment horizontal="center" vertical="center"/>
    </xf>
    <xf numFmtId="0" fontId="41" fillId="0" borderId="53" xfId="0" quotePrefix="1" applyFont="1" applyBorder="1" applyAlignment="1">
      <alignment horizontal="left" vertical="center"/>
    </xf>
    <xf numFmtId="0" fontId="41" fillId="0" borderId="25" xfId="0" applyFont="1" applyBorder="1" applyAlignment="1">
      <alignment horizontal="left" vertical="center"/>
    </xf>
    <xf numFmtId="0" fontId="41" fillId="0" borderId="14" xfId="0" applyFont="1" applyBorder="1" applyAlignment="1">
      <alignment horizontal="left" vertical="center"/>
    </xf>
    <xf numFmtId="14" fontId="41" fillId="0" borderId="68" xfId="0" applyNumberFormat="1" applyFont="1" applyBorder="1" applyAlignment="1">
      <alignment horizontal="center" vertical="center"/>
    </xf>
    <xf numFmtId="0" fontId="69" fillId="0" borderId="0" xfId="0" applyFont="1"/>
    <xf numFmtId="9" fontId="0" fillId="0" borderId="0" xfId="44" applyFont="1"/>
    <xf numFmtId="9" fontId="0" fillId="0" borderId="0" xfId="44" applyFont="1" applyAlignment="1">
      <alignment vertical="center"/>
    </xf>
    <xf numFmtId="9" fontId="12" fillId="0" borderId="0" xfId="44" applyFont="1"/>
    <xf numFmtId="165" fontId="51" fillId="0" borderId="12" xfId="0" applyNumberFormat="1" applyFont="1" applyBorder="1" applyAlignment="1">
      <alignment horizontal="left"/>
    </xf>
    <xf numFmtId="165" fontId="41" fillId="0" borderId="69" xfId="29" applyNumberFormat="1" applyFont="1" applyFill="1" applyBorder="1" applyAlignment="1">
      <alignment horizontal="center" vertical="center"/>
    </xf>
    <xf numFmtId="0" fontId="41" fillId="26" borderId="70" xfId="0" applyFont="1" applyFill="1" applyBorder="1" applyAlignment="1">
      <alignment horizontal="center" vertical="center"/>
    </xf>
    <xf numFmtId="180" fontId="0" fillId="0" borderId="0" xfId="0" applyNumberFormat="1"/>
    <xf numFmtId="165" fontId="38" fillId="0" borderId="12" xfId="29" applyNumberFormat="1" applyFont="1" applyBorder="1" applyAlignment="1">
      <alignment horizontal="right" vertical="center"/>
    </xf>
    <xf numFmtId="168" fontId="62" fillId="0" borderId="0" xfId="45" applyNumberFormat="1" applyFont="1">
      <alignment vertical="top"/>
    </xf>
    <xf numFmtId="0" fontId="41" fillId="0" borderId="12" xfId="28" applyNumberFormat="1" applyFont="1" applyFill="1" applyBorder="1" applyAlignment="1">
      <alignment horizontal="center" vertical="center"/>
    </xf>
    <xf numFmtId="0" fontId="41" fillId="0" borderId="12" xfId="28" applyNumberFormat="1" applyFont="1" applyFill="1" applyBorder="1" applyAlignment="1">
      <alignment horizontal="center" vertical="center" wrapText="1"/>
    </xf>
    <xf numFmtId="0" fontId="41" fillId="0" borderId="10" xfId="28" applyNumberFormat="1" applyFont="1" applyFill="1" applyBorder="1" applyAlignment="1">
      <alignment horizontal="center"/>
    </xf>
    <xf numFmtId="165" fontId="38" fillId="0" borderId="0" xfId="29" applyNumberFormat="1" applyFont="1" applyFill="1" applyBorder="1" applyAlignment="1">
      <alignment horizontal="right" vertical="center"/>
    </xf>
    <xf numFmtId="0" fontId="41" fillId="0" borderId="55" xfId="39" applyFont="1" applyBorder="1" applyAlignment="1">
      <alignment horizontal="center" vertical="center"/>
    </xf>
    <xf numFmtId="14" fontId="70" fillId="0" borderId="12" xfId="0" applyNumberFormat="1" applyFont="1" applyBorder="1" applyAlignment="1">
      <alignment horizontal="center"/>
    </xf>
    <xf numFmtId="165" fontId="38" fillId="0" borderId="43" xfId="29" applyNumberFormat="1" applyFont="1" applyFill="1" applyBorder="1" applyAlignment="1">
      <alignment horizontal="right" vertical="center"/>
    </xf>
    <xf numFmtId="0" fontId="49" fillId="0" borderId="0" xfId="0" applyFont="1"/>
    <xf numFmtId="44" fontId="7" fillId="0" borderId="0" xfId="29" applyFont="1" applyFill="1" applyBorder="1"/>
    <xf numFmtId="170" fontId="7" fillId="0" borderId="0" xfId="29" applyNumberFormat="1" applyFont="1" applyFill="1" applyBorder="1"/>
    <xf numFmtId="44" fontId="0" fillId="0" borderId="0" xfId="29" applyFont="1" applyFill="1"/>
    <xf numFmtId="170" fontId="0" fillId="0" borderId="0" xfId="29" applyNumberFormat="1" applyFont="1" applyFill="1"/>
    <xf numFmtId="0" fontId="41" fillId="0" borderId="71" xfId="0" applyFont="1" applyBorder="1" applyAlignment="1">
      <alignment horizontal="left" vertical="center"/>
    </xf>
    <xf numFmtId="14" fontId="41" fillId="0" borderId="72" xfId="0" applyNumberFormat="1" applyFont="1" applyBorder="1" applyAlignment="1">
      <alignment horizontal="center" vertical="center"/>
    </xf>
    <xf numFmtId="0" fontId="41" fillId="0" borderId="73" xfId="0" applyFont="1" applyBorder="1" applyAlignment="1">
      <alignment horizontal="left" vertical="center"/>
    </xf>
    <xf numFmtId="14" fontId="41" fillId="0" borderId="74" xfId="0" applyNumberFormat="1" applyFont="1" applyBorder="1" applyAlignment="1">
      <alignment horizontal="center" vertical="center"/>
    </xf>
    <xf numFmtId="165" fontId="9" fillId="0" borderId="45" xfId="29" applyNumberFormat="1" applyFont="1" applyFill="1" applyBorder="1" applyAlignment="1">
      <alignment horizontal="center" vertical="center"/>
    </xf>
    <xf numFmtId="165" fontId="9" fillId="0" borderId="53" xfId="29" applyNumberFormat="1" applyFont="1" applyFill="1" applyBorder="1" applyAlignment="1">
      <alignment horizontal="center" vertical="center"/>
    </xf>
    <xf numFmtId="0" fontId="38" fillId="0" borderId="27" xfId="41" applyFont="1" applyBorder="1" applyAlignment="1">
      <alignment horizontal="center"/>
    </xf>
    <xf numFmtId="0" fontId="38" fillId="0" borderId="30" xfId="41" applyFont="1" applyBorder="1" applyAlignment="1">
      <alignment horizontal="center"/>
    </xf>
    <xf numFmtId="0" fontId="38" fillId="0" borderId="31" xfId="41" applyFont="1" applyBorder="1" applyAlignment="1">
      <alignment horizontal="center"/>
    </xf>
    <xf numFmtId="0" fontId="38" fillId="0" borderId="32" xfId="45" quotePrefix="1" applyFont="1" applyBorder="1" applyAlignment="1">
      <alignment horizontal="center" vertical="center" wrapText="1"/>
    </xf>
    <xf numFmtId="0" fontId="38" fillId="0" borderId="33" xfId="45" applyFont="1" applyBorder="1" applyAlignment="1">
      <alignment horizontal="center" vertical="center" wrapText="1"/>
    </xf>
    <xf numFmtId="0" fontId="38" fillId="0" borderId="34" xfId="45" applyFont="1" applyBorder="1" applyAlignment="1">
      <alignment horizontal="center" vertical="center" wrapText="1"/>
    </xf>
    <xf numFmtId="0" fontId="38" fillId="0" borderId="32" xfId="45" applyFont="1" applyBorder="1" applyAlignment="1">
      <alignment horizontal="center" vertical="center" wrapText="1"/>
    </xf>
    <xf numFmtId="0" fontId="38" fillId="0" borderId="48" xfId="45" applyFont="1" applyBorder="1" applyAlignment="1">
      <alignment horizontal="center" vertical="center" wrapText="1"/>
    </xf>
    <xf numFmtId="0" fontId="38" fillId="0" borderId="44" xfId="45" applyFont="1" applyBorder="1" applyAlignment="1">
      <alignment horizontal="center" vertical="center" wrapText="1"/>
    </xf>
    <xf numFmtId="0" fontId="38" fillId="0" borderId="39" xfId="45" applyFont="1" applyBorder="1" applyAlignment="1">
      <alignment horizontal="center" vertical="center" wrapText="1"/>
    </xf>
    <xf numFmtId="0" fontId="41" fillId="0" borderId="0" xfId="45" applyFont="1" applyAlignment="1">
      <alignment vertical="top" wrapText="1"/>
    </xf>
    <xf numFmtId="0" fontId="9" fillId="0" borderId="27" xfId="45" applyFont="1" applyBorder="1" applyAlignment="1">
      <alignment horizontal="left" wrapText="1"/>
    </xf>
    <xf numFmtId="0" fontId="46" fillId="0" borderId="30" xfId="45" applyFont="1" applyBorder="1">
      <alignment vertical="top"/>
    </xf>
    <xf numFmtId="0" fontId="46" fillId="0" borderId="31" xfId="45" applyFont="1" applyBorder="1">
      <alignment vertical="top"/>
    </xf>
    <xf numFmtId="0" fontId="41" fillId="0" borderId="29" xfId="45" applyFont="1" applyBorder="1" applyAlignment="1">
      <alignment vertical="top" wrapText="1"/>
    </xf>
    <xf numFmtId="0" fontId="41" fillId="0" borderId="23" xfId="39" applyFont="1" applyBorder="1" applyAlignment="1">
      <alignment vertical="top" wrapText="1"/>
    </xf>
    <xf numFmtId="0" fontId="41" fillId="0" borderId="24" xfId="39" applyFont="1" applyBorder="1" applyAlignment="1">
      <alignment vertical="top" wrapText="1"/>
    </xf>
    <xf numFmtId="0" fontId="41" fillId="0" borderId="27" xfId="45" applyFont="1" applyBorder="1" applyAlignment="1">
      <alignment vertical="top" wrapText="1"/>
    </xf>
    <xf numFmtId="0" fontId="41" fillId="0" borderId="30" xfId="45" applyFont="1" applyBorder="1" applyAlignment="1">
      <alignment vertical="top" wrapText="1"/>
    </xf>
    <xf numFmtId="0" fontId="41" fillId="0" borderId="31" xfId="45" applyFont="1" applyBorder="1" applyAlignment="1">
      <alignment vertical="top" wrapText="1"/>
    </xf>
    <xf numFmtId="0" fontId="41" fillId="0" borderId="27" xfId="45" applyFont="1" applyBorder="1" applyAlignment="1">
      <alignment horizontal="left" vertical="top" wrapText="1"/>
    </xf>
    <xf numFmtId="0" fontId="41" fillId="0" borderId="30" xfId="45" applyFont="1" applyBorder="1" applyAlignment="1">
      <alignment horizontal="left" vertical="top" wrapText="1"/>
    </xf>
    <xf numFmtId="0" fontId="41" fillId="0" borderId="31" xfId="45" applyFont="1" applyBorder="1" applyAlignment="1">
      <alignment horizontal="left" vertical="top" wrapText="1"/>
    </xf>
    <xf numFmtId="0" fontId="41" fillId="0" borderId="28" xfId="45" applyFont="1" applyBorder="1" applyAlignment="1">
      <alignment horizontal="center" vertical="center"/>
    </xf>
    <xf numFmtId="0" fontId="41" fillId="0" borderId="21" xfId="45" applyFont="1" applyBorder="1" applyAlignment="1">
      <alignment horizontal="center" vertical="center"/>
    </xf>
    <xf numFmtId="0" fontId="38" fillId="0" borderId="32" xfId="45" applyFont="1" applyBorder="1" applyAlignment="1">
      <alignment horizontal="center" vertical="center"/>
    </xf>
    <xf numFmtId="0" fontId="38" fillId="0" borderId="33" xfId="45" applyFont="1" applyBorder="1" applyAlignment="1">
      <alignment horizontal="center" vertical="center"/>
    </xf>
    <xf numFmtId="0" fontId="38" fillId="0" borderId="34" xfId="45" applyFont="1" applyBorder="1" applyAlignment="1">
      <alignment horizontal="center" vertical="center"/>
    </xf>
    <xf numFmtId="6" fontId="38" fillId="0" borderId="32" xfId="28" applyNumberFormat="1" applyFont="1" applyBorder="1" applyAlignment="1">
      <alignment horizontal="center" vertical="center"/>
    </xf>
    <xf numFmtId="6" fontId="38" fillId="0" borderId="33" xfId="28" applyNumberFormat="1" applyFont="1" applyBorder="1" applyAlignment="1">
      <alignment horizontal="center" vertical="center"/>
    </xf>
    <xf numFmtId="6" fontId="38" fillId="0" borderId="34" xfId="28" applyNumberFormat="1" applyFont="1" applyBorder="1" applyAlignment="1">
      <alignment horizontal="center" vertical="center"/>
    </xf>
    <xf numFmtId="0" fontId="38" fillId="0" borderId="44" xfId="41" applyFont="1" applyBorder="1" applyAlignment="1">
      <alignment horizontal="center"/>
    </xf>
    <xf numFmtId="0" fontId="38" fillId="0" borderId="0" xfId="41" applyFont="1" applyAlignment="1">
      <alignment horizontal="center"/>
    </xf>
    <xf numFmtId="0" fontId="9" fillId="0" borderId="0" xfId="41" applyFont="1" applyAlignment="1">
      <alignment horizontal="center"/>
    </xf>
    <xf numFmtId="0" fontId="61" fillId="0" borderId="0" xfId="41" applyFont="1" applyAlignment="1">
      <alignment horizontal="center"/>
    </xf>
    <xf numFmtId="0" fontId="9" fillId="0" borderId="0" xfId="41" quotePrefix="1" applyFont="1" applyAlignment="1">
      <alignment horizontal="center"/>
    </xf>
    <xf numFmtId="0" fontId="41" fillId="0" borderId="27" xfId="45" applyFont="1" applyBorder="1" applyAlignment="1">
      <alignment horizontal="left" vertical="center" wrapText="1"/>
    </xf>
    <xf numFmtId="0" fontId="41" fillId="0" borderId="30" xfId="45" applyFont="1" applyBorder="1" applyAlignment="1">
      <alignment horizontal="left" vertical="center" wrapText="1"/>
    </xf>
    <xf numFmtId="0" fontId="41" fillId="0" borderId="31" xfId="45" applyFont="1" applyBorder="1" applyAlignment="1">
      <alignment horizontal="left" vertical="center" wrapText="1"/>
    </xf>
    <xf numFmtId="0" fontId="38" fillId="0" borderId="27" xfId="41" quotePrefix="1" applyFont="1" applyBorder="1" applyAlignment="1">
      <alignment horizontal="center"/>
    </xf>
    <xf numFmtId="0" fontId="38" fillId="0" borderId="30" xfId="41" quotePrefix="1" applyFont="1" applyBorder="1" applyAlignment="1">
      <alignment horizontal="center"/>
    </xf>
    <xf numFmtId="0" fontId="38" fillId="0" borderId="31" xfId="41" quotePrefix="1" applyFont="1" applyBorder="1" applyAlignment="1">
      <alignment horizontal="center"/>
    </xf>
    <xf numFmtId="0" fontId="38" fillId="0" borderId="36" xfId="45" applyFont="1" applyBorder="1" applyAlignment="1">
      <alignment horizontal="center" vertical="center" wrapText="1"/>
    </xf>
    <xf numFmtId="0" fontId="38" fillId="0" borderId="49" xfId="45" applyFont="1" applyBorder="1" applyAlignment="1">
      <alignment horizontal="center" vertical="center" wrapText="1"/>
    </xf>
    <xf numFmtId="0" fontId="38" fillId="0" borderId="0" xfId="45" applyFont="1" applyAlignment="1">
      <alignment horizontal="center" vertical="center" wrapText="1"/>
    </xf>
    <xf numFmtId="0" fontId="38" fillId="0" borderId="50" xfId="45" applyFont="1" applyBorder="1" applyAlignment="1">
      <alignment horizontal="center" vertical="center" wrapText="1"/>
    </xf>
    <xf numFmtId="0" fontId="38" fillId="0" borderId="35" xfId="45" applyFont="1" applyBorder="1" applyAlignment="1">
      <alignment horizontal="center" vertical="center" wrapText="1"/>
    </xf>
    <xf numFmtId="0" fontId="38" fillId="0" borderId="51" xfId="45" applyFont="1" applyBorder="1" applyAlignment="1">
      <alignment horizontal="center" vertical="center" wrapText="1"/>
    </xf>
    <xf numFmtId="0" fontId="9" fillId="0" borderId="27" xfId="45" applyFont="1" applyBorder="1" applyAlignment="1">
      <alignment horizontal="left"/>
    </xf>
    <xf numFmtId="0" fontId="9" fillId="0" borderId="30" xfId="45" applyFont="1" applyBorder="1" applyAlignment="1">
      <alignment horizontal="left"/>
    </xf>
    <xf numFmtId="0" fontId="9" fillId="0" borderId="31" xfId="45" applyFont="1" applyBorder="1" applyAlignment="1">
      <alignment horizontal="left"/>
    </xf>
    <xf numFmtId="0" fontId="41" fillId="0" borderId="27" xfId="45" applyFont="1" applyBorder="1" applyAlignment="1">
      <alignment horizontal="left" vertical="top"/>
    </xf>
    <xf numFmtId="0" fontId="41" fillId="0" borderId="30" xfId="45" applyFont="1" applyBorder="1" applyAlignment="1">
      <alignment horizontal="left" vertical="top"/>
    </xf>
    <xf numFmtId="0" fontId="41" fillId="0" borderId="31" xfId="45" applyFont="1" applyBorder="1" applyAlignment="1">
      <alignment horizontal="left" vertical="top"/>
    </xf>
    <xf numFmtId="0" fontId="38" fillId="0" borderId="27" xfId="45" applyFont="1" applyBorder="1" applyAlignment="1">
      <alignment horizontal="center" vertical="center" wrapText="1"/>
    </xf>
    <xf numFmtId="0" fontId="38" fillId="0" borderId="31" xfId="45" applyFont="1" applyBorder="1" applyAlignment="1">
      <alignment horizontal="center" vertical="center" wrapText="1"/>
    </xf>
    <xf numFmtId="0" fontId="46" fillId="0" borderId="27" xfId="45" applyFont="1" applyBorder="1" applyAlignment="1">
      <alignment horizontal="left" vertical="top"/>
    </xf>
    <xf numFmtId="0" fontId="46" fillId="0" borderId="30" xfId="45" applyFont="1" applyBorder="1" applyAlignment="1">
      <alignment horizontal="left" vertical="top"/>
    </xf>
    <xf numFmtId="0" fontId="46" fillId="0" borderId="31" xfId="45" applyFont="1" applyBorder="1" applyAlignment="1">
      <alignment horizontal="left" vertical="top"/>
    </xf>
    <xf numFmtId="0" fontId="38" fillId="0" borderId="0" xfId="45" applyFont="1" applyAlignment="1">
      <alignment horizontal="left" wrapText="1"/>
    </xf>
    <xf numFmtId="0" fontId="40" fillId="0" borderId="0" xfId="45" applyFont="1">
      <alignment vertical="top"/>
    </xf>
    <xf numFmtId="0" fontId="41" fillId="0" borderId="27" xfId="45" applyFont="1" applyBorder="1" applyAlignment="1">
      <alignment horizontal="center" vertical="top" wrapText="1"/>
    </xf>
    <xf numFmtId="0" fontId="41" fillId="0" borderId="30" xfId="45" applyFont="1" applyBorder="1" applyAlignment="1">
      <alignment horizontal="center" vertical="top" wrapText="1"/>
    </xf>
    <xf numFmtId="0" fontId="41" fillId="0" borderId="31" xfId="45" applyFont="1" applyBorder="1" applyAlignment="1">
      <alignment horizontal="center" vertical="top" wrapText="1"/>
    </xf>
    <xf numFmtId="0" fontId="9" fillId="0" borderId="30" xfId="45" applyFont="1" applyBorder="1" applyAlignment="1">
      <alignment horizontal="left" wrapText="1"/>
    </xf>
    <xf numFmtId="0" fontId="9" fillId="0" borderId="31" xfId="45" applyFont="1" applyBorder="1" applyAlignment="1">
      <alignment horizontal="left" wrapText="1"/>
    </xf>
    <xf numFmtId="0" fontId="41" fillId="0" borderId="12" xfId="39" quotePrefix="1" applyFont="1" applyBorder="1" applyAlignment="1">
      <alignment horizontal="left" vertical="center" wrapText="1"/>
    </xf>
    <xf numFmtId="0" fontId="41" fillId="0" borderId="12" xfId="39" applyFont="1" applyBorder="1" applyAlignment="1">
      <alignment horizontal="left" vertical="center" wrapText="1"/>
    </xf>
    <xf numFmtId="0" fontId="41" fillId="0" borderId="16" xfId="39" applyFont="1" applyBorder="1" applyAlignment="1">
      <alignment horizontal="left" vertical="center" wrapText="1"/>
    </xf>
    <xf numFmtId="0" fontId="41" fillId="0" borderId="61" xfId="39" quotePrefix="1" applyFont="1" applyBorder="1" applyAlignment="1">
      <alignment horizontal="left" vertical="center" wrapText="1"/>
    </xf>
    <xf numFmtId="0" fontId="41" fillId="0" borderId="23" xfId="39" quotePrefix="1" applyFont="1" applyBorder="1" applyAlignment="1">
      <alignment horizontal="left" vertical="center" wrapText="1"/>
    </xf>
    <xf numFmtId="0" fontId="41" fillId="0" borderId="24" xfId="39" quotePrefix="1" applyFont="1" applyBorder="1" applyAlignment="1">
      <alignment horizontal="left" vertical="center" wrapText="1"/>
    </xf>
    <xf numFmtId="0" fontId="9" fillId="0" borderId="0" xfId="0" applyFont="1" applyAlignment="1">
      <alignment horizontal="center"/>
    </xf>
    <xf numFmtId="0" fontId="13" fillId="0" borderId="0" xfId="0" applyFont="1" applyAlignment="1">
      <alignment horizontal="center"/>
    </xf>
    <xf numFmtId="0" fontId="36" fillId="0" borderId="35" xfId="0" quotePrefix="1" applyFont="1" applyBorder="1" applyAlignment="1">
      <alignment horizontal="left"/>
    </xf>
    <xf numFmtId="0" fontId="36" fillId="0" borderId="35" xfId="0" applyFont="1" applyBorder="1" applyAlignment="1">
      <alignment horizontal="left"/>
    </xf>
    <xf numFmtId="0" fontId="41" fillId="0" borderId="26" xfId="39" applyFont="1" applyBorder="1" applyAlignment="1">
      <alignment horizontal="left" vertical="center" wrapText="1"/>
    </xf>
    <xf numFmtId="0" fontId="41" fillId="0" borderId="52" xfId="39" applyFont="1" applyBorder="1" applyAlignment="1">
      <alignment horizontal="left" vertical="center" wrapText="1"/>
    </xf>
    <xf numFmtId="0" fontId="57" fillId="25" borderId="11" xfId="0" applyFont="1" applyFill="1" applyBorder="1" applyAlignment="1">
      <alignment horizontal="center"/>
    </xf>
    <xf numFmtId="0" fontId="9" fillId="0" borderId="0" xfId="0" applyFont="1" applyAlignment="1">
      <alignment horizontal="center" vertical="center"/>
    </xf>
    <xf numFmtId="0" fontId="9" fillId="0" borderId="0" xfId="0" quotePrefix="1" applyFont="1" applyAlignment="1">
      <alignment horizontal="center" vertical="center"/>
    </xf>
    <xf numFmtId="0" fontId="7" fillId="0" borderId="0" xfId="41" applyFont="1" applyAlignment="1">
      <alignment horizontal="left" wrapText="1"/>
    </xf>
    <xf numFmtId="0" fontId="38" fillId="0" borderId="27" xfId="45" applyFont="1" applyBorder="1" applyAlignment="1">
      <alignment horizontal="left" wrapText="1"/>
    </xf>
    <xf numFmtId="0" fontId="38" fillId="0" borderId="30" xfId="45" applyFont="1" applyBorder="1" applyAlignment="1">
      <alignment horizontal="left" wrapText="1"/>
    </xf>
    <xf numFmtId="0" fontId="38" fillId="0" borderId="31" xfId="45" applyFont="1" applyBorder="1" applyAlignment="1">
      <alignment horizontal="left" wrapText="1"/>
    </xf>
    <xf numFmtId="0" fontId="39" fillId="0" borderId="27" xfId="45" applyFont="1" applyBorder="1" applyAlignment="1">
      <alignment horizontal="left" vertical="top" wrapText="1"/>
    </xf>
    <xf numFmtId="0" fontId="39" fillId="0" borderId="30" xfId="45" applyFont="1" applyBorder="1" applyAlignment="1">
      <alignment horizontal="left" vertical="top" wrapText="1"/>
    </xf>
    <xf numFmtId="0" fontId="39" fillId="0" borderId="31" xfId="45" applyFont="1" applyBorder="1" applyAlignment="1">
      <alignment horizontal="left" vertical="top" wrapText="1"/>
    </xf>
    <xf numFmtId="0" fontId="41" fillId="0" borderId="62" xfId="45" applyFont="1" applyBorder="1" applyAlignment="1">
      <alignment horizontal="center" vertical="center"/>
    </xf>
    <xf numFmtId="0" fontId="38" fillId="0" borderId="33" xfId="45" quotePrefix="1" applyFont="1" applyBorder="1" applyAlignment="1">
      <alignment horizontal="center" vertical="center" wrapText="1"/>
    </xf>
    <xf numFmtId="0" fontId="38" fillId="0" borderId="34" xfId="45" quotePrefix="1" applyFont="1" applyBorder="1" applyAlignment="1">
      <alignment horizontal="center" vertical="center" wrapText="1"/>
    </xf>
  </cellXfs>
  <cellStyles count="1032">
    <cellStyle name="_McDon Test Fuel Summary" xfId="85" xr:uid="{00000000-0005-0000-0000-000000000000}"/>
    <cellStyle name="_Sheet1" xfId="84" xr:uid="{00000000-0005-0000-0000-000001000000}"/>
    <cellStyle name="_Sheet4" xfId="83" xr:uid="{00000000-0005-0000-0000-000002000000}"/>
    <cellStyle name="20% - Accent1" xfId="1" builtinId="30" customBuiltin="1"/>
    <cellStyle name="20% - Accent1 2" xfId="92" xr:uid="{00000000-0005-0000-0000-000004000000}"/>
    <cellStyle name="20% - Accent1 3" xfId="150" xr:uid="{00000000-0005-0000-0000-000005000000}"/>
    <cellStyle name="20% - Accent2" xfId="2" builtinId="34" customBuiltin="1"/>
    <cellStyle name="20% - Accent2 2" xfId="93" xr:uid="{00000000-0005-0000-0000-000007000000}"/>
    <cellStyle name="20% - Accent2 3" xfId="151" xr:uid="{00000000-0005-0000-0000-000008000000}"/>
    <cellStyle name="20% - Accent3" xfId="3" builtinId="38" customBuiltin="1"/>
    <cellStyle name="20% - Accent3 2" xfId="94" xr:uid="{00000000-0005-0000-0000-00000A000000}"/>
    <cellStyle name="20% - Accent3 3" xfId="152" xr:uid="{00000000-0005-0000-0000-00000B000000}"/>
    <cellStyle name="20% - Accent4" xfId="4" builtinId="42" customBuiltin="1"/>
    <cellStyle name="20% - Accent4 2" xfId="95" xr:uid="{00000000-0005-0000-0000-00000D000000}"/>
    <cellStyle name="20% - Accent4 3" xfId="153" xr:uid="{00000000-0005-0000-0000-00000E000000}"/>
    <cellStyle name="20% - Accent5" xfId="5" builtinId="46" customBuiltin="1"/>
    <cellStyle name="20% - Accent5 2" xfId="96" xr:uid="{00000000-0005-0000-0000-000010000000}"/>
    <cellStyle name="20% - Accent5 3" xfId="154" xr:uid="{00000000-0005-0000-0000-000011000000}"/>
    <cellStyle name="20% - Accent6" xfId="6" builtinId="50" customBuiltin="1"/>
    <cellStyle name="20% - Accent6 2" xfId="97" xr:uid="{00000000-0005-0000-0000-000013000000}"/>
    <cellStyle name="20% - Accent6 3" xfId="155" xr:uid="{00000000-0005-0000-0000-000014000000}"/>
    <cellStyle name="40% - Accent1" xfId="7" builtinId="31" customBuiltin="1"/>
    <cellStyle name="40% - Accent1 2" xfId="98" xr:uid="{00000000-0005-0000-0000-000016000000}"/>
    <cellStyle name="40% - Accent1 3" xfId="156" xr:uid="{00000000-0005-0000-0000-000017000000}"/>
    <cellStyle name="40% - Accent2" xfId="8" builtinId="35" customBuiltin="1"/>
    <cellStyle name="40% - Accent2 2" xfId="99" xr:uid="{00000000-0005-0000-0000-000019000000}"/>
    <cellStyle name="40% - Accent2 3" xfId="157" xr:uid="{00000000-0005-0000-0000-00001A000000}"/>
    <cellStyle name="40% - Accent3" xfId="9" builtinId="39" customBuiltin="1"/>
    <cellStyle name="40% - Accent3 2" xfId="100" xr:uid="{00000000-0005-0000-0000-00001C000000}"/>
    <cellStyle name="40% - Accent3 3" xfId="158" xr:uid="{00000000-0005-0000-0000-00001D000000}"/>
    <cellStyle name="40% - Accent4" xfId="10" builtinId="43" customBuiltin="1"/>
    <cellStyle name="40% - Accent4 2" xfId="101" xr:uid="{00000000-0005-0000-0000-00001F000000}"/>
    <cellStyle name="40% - Accent4 3" xfId="159" xr:uid="{00000000-0005-0000-0000-000020000000}"/>
    <cellStyle name="40% - Accent5" xfId="11" builtinId="47" customBuiltin="1"/>
    <cellStyle name="40% - Accent5 2" xfId="102" xr:uid="{00000000-0005-0000-0000-000022000000}"/>
    <cellStyle name="40% - Accent5 3" xfId="160" xr:uid="{00000000-0005-0000-0000-000023000000}"/>
    <cellStyle name="40% - Accent6" xfId="12" builtinId="51" customBuiltin="1"/>
    <cellStyle name="40% - Accent6 2" xfId="103" xr:uid="{00000000-0005-0000-0000-000025000000}"/>
    <cellStyle name="40% - Accent6 3" xfId="161" xr:uid="{00000000-0005-0000-0000-000026000000}"/>
    <cellStyle name="60% - Accent1" xfId="13" builtinId="32" customBuiltin="1"/>
    <cellStyle name="60% - Accent1 2" xfId="104" xr:uid="{00000000-0005-0000-0000-000028000000}"/>
    <cellStyle name="60% - Accent1 3" xfId="162" xr:uid="{00000000-0005-0000-0000-000029000000}"/>
    <cellStyle name="60% - Accent2" xfId="14" builtinId="36" customBuiltin="1"/>
    <cellStyle name="60% - Accent2 2" xfId="105" xr:uid="{00000000-0005-0000-0000-00002B000000}"/>
    <cellStyle name="60% - Accent2 3" xfId="163" xr:uid="{00000000-0005-0000-0000-00002C000000}"/>
    <cellStyle name="60% - Accent3" xfId="15" builtinId="40" customBuiltin="1"/>
    <cellStyle name="60% - Accent3 2" xfId="106" xr:uid="{00000000-0005-0000-0000-00002E000000}"/>
    <cellStyle name="60% - Accent3 3" xfId="164" xr:uid="{00000000-0005-0000-0000-00002F000000}"/>
    <cellStyle name="60% - Accent4" xfId="16" builtinId="44" customBuiltin="1"/>
    <cellStyle name="60% - Accent4 2" xfId="107" xr:uid="{00000000-0005-0000-0000-000031000000}"/>
    <cellStyle name="60% - Accent4 3" xfId="165" xr:uid="{00000000-0005-0000-0000-000032000000}"/>
    <cellStyle name="60% - Accent5" xfId="17" builtinId="48" customBuiltin="1"/>
    <cellStyle name="60% - Accent5 2" xfId="108" xr:uid="{00000000-0005-0000-0000-000034000000}"/>
    <cellStyle name="60% - Accent5 3" xfId="166" xr:uid="{00000000-0005-0000-0000-000035000000}"/>
    <cellStyle name="60% - Accent6" xfId="18" builtinId="52" customBuiltin="1"/>
    <cellStyle name="60% - Accent6 2" xfId="109" xr:uid="{00000000-0005-0000-0000-000037000000}"/>
    <cellStyle name="60% - Accent6 3" xfId="167" xr:uid="{00000000-0005-0000-0000-000038000000}"/>
    <cellStyle name="Accent1" xfId="19" builtinId="29" customBuiltin="1"/>
    <cellStyle name="Accent1 2" xfId="110" xr:uid="{00000000-0005-0000-0000-00003A000000}"/>
    <cellStyle name="Accent1 3" xfId="168" xr:uid="{00000000-0005-0000-0000-00003B000000}"/>
    <cellStyle name="Accent2" xfId="20" builtinId="33" customBuiltin="1"/>
    <cellStyle name="Accent2 2" xfId="111" xr:uid="{00000000-0005-0000-0000-00003D000000}"/>
    <cellStyle name="Accent2 3" xfId="169" xr:uid="{00000000-0005-0000-0000-00003E000000}"/>
    <cellStyle name="Accent3" xfId="21" builtinId="37" customBuiltin="1"/>
    <cellStyle name="Accent3 2" xfId="112" xr:uid="{00000000-0005-0000-0000-000040000000}"/>
    <cellStyle name="Accent3 3" xfId="170" xr:uid="{00000000-0005-0000-0000-000041000000}"/>
    <cellStyle name="Accent4" xfId="22" builtinId="41" customBuiltin="1"/>
    <cellStyle name="Accent4 2" xfId="113" xr:uid="{00000000-0005-0000-0000-000043000000}"/>
    <cellStyle name="Accent4 3" xfId="171" xr:uid="{00000000-0005-0000-0000-000044000000}"/>
    <cellStyle name="Accent5" xfId="23" builtinId="45" customBuiltin="1"/>
    <cellStyle name="Accent5 2" xfId="114" xr:uid="{00000000-0005-0000-0000-000046000000}"/>
    <cellStyle name="Accent5 3" xfId="172" xr:uid="{00000000-0005-0000-0000-000047000000}"/>
    <cellStyle name="Accent6" xfId="24" builtinId="49" customBuiltin="1"/>
    <cellStyle name="Accent6 2" xfId="115" xr:uid="{00000000-0005-0000-0000-000049000000}"/>
    <cellStyle name="Accent6 3" xfId="173" xr:uid="{00000000-0005-0000-0000-00004A000000}"/>
    <cellStyle name="Bad" xfId="25" builtinId="27" customBuiltin="1"/>
    <cellStyle name="Bad 2" xfId="116" xr:uid="{00000000-0005-0000-0000-00004C000000}"/>
    <cellStyle name="Bad 3" xfId="174" xr:uid="{00000000-0005-0000-0000-00004D000000}"/>
    <cellStyle name="Calculation" xfId="26" builtinId="22" customBuiltin="1"/>
    <cellStyle name="Calculation 2" xfId="117" xr:uid="{00000000-0005-0000-0000-00004F000000}"/>
    <cellStyle name="Calculation 3" xfId="175" xr:uid="{00000000-0005-0000-0000-000050000000}"/>
    <cellStyle name="Check Cell" xfId="27" builtinId="23" customBuiltin="1"/>
    <cellStyle name="Check Cell 2" xfId="118" xr:uid="{00000000-0005-0000-0000-000052000000}"/>
    <cellStyle name="Check Cell 3" xfId="176" xr:uid="{00000000-0005-0000-0000-000053000000}"/>
    <cellStyle name="Comma" xfId="28" builtinId="3"/>
    <cellStyle name="Comma 10" xfId="177" xr:uid="{00000000-0005-0000-0000-000055000000}"/>
    <cellStyle name="Comma 10 2" xfId="178" xr:uid="{00000000-0005-0000-0000-000056000000}"/>
    <cellStyle name="Comma 10 2 2" xfId="179" xr:uid="{00000000-0005-0000-0000-000057000000}"/>
    <cellStyle name="Comma 10 2 2 2" xfId="396" xr:uid="{488CFDED-2386-44B4-AD1C-5EA873F5095F}"/>
    <cellStyle name="Comma 10 2 2 2 2" xfId="820" xr:uid="{C128988D-F78B-41B9-8076-D59471DC3BD4}"/>
    <cellStyle name="Comma 10 2 2 3" xfId="639" xr:uid="{CBADAF59-4C46-4F5F-8CAE-6CDD39D7427F}"/>
    <cellStyle name="Comma 10 2 3" xfId="180" xr:uid="{00000000-0005-0000-0000-000058000000}"/>
    <cellStyle name="Comma 10 2 3 2" xfId="397" xr:uid="{C6466EA7-871C-4048-9738-AB0512BA6562}"/>
    <cellStyle name="Comma 10 2 3 2 2" xfId="821" xr:uid="{DD2317C5-D01E-446D-9484-CDB15A62DA1F}"/>
    <cellStyle name="Comma 10 2 3 3" xfId="640" xr:uid="{E43A6119-F589-408D-BB72-6988CA9BA7F4}"/>
    <cellStyle name="Comma 10 2 4" xfId="398" xr:uid="{9579FFAE-1676-4265-8B66-70B552D678BA}"/>
    <cellStyle name="Comma 10 2 4 2" xfId="822" xr:uid="{29B0E124-4550-40E0-B1C2-094421881582}"/>
    <cellStyle name="Comma 10 2 5" xfId="638" xr:uid="{DB768F76-22B8-4F07-A98B-6A4958F7E852}"/>
    <cellStyle name="Comma 10 3" xfId="181" xr:uid="{00000000-0005-0000-0000-000059000000}"/>
    <cellStyle name="Comma 10 3 2" xfId="399" xr:uid="{7B80C747-1B47-45BE-B311-620ADE4AC668}"/>
    <cellStyle name="Comma 10 3 2 2" xfId="823" xr:uid="{A98F5045-4984-48B8-AF95-371AFCCD902E}"/>
    <cellStyle name="Comma 10 3 3" xfId="641" xr:uid="{2F98B661-516F-434D-9388-FCC516DBC0D5}"/>
    <cellStyle name="Comma 10 4" xfId="182" xr:uid="{00000000-0005-0000-0000-00005A000000}"/>
    <cellStyle name="Comma 10 4 2" xfId="400" xr:uid="{37B0DB32-5DDE-47A3-A68D-988D9A516B26}"/>
    <cellStyle name="Comma 10 4 2 2" xfId="824" xr:uid="{A6118399-E101-45BE-83E7-C9BC5936E692}"/>
    <cellStyle name="Comma 10 4 3" xfId="642" xr:uid="{AFC2D010-54A7-4746-8C15-398E827F3661}"/>
    <cellStyle name="Comma 10 5" xfId="401" xr:uid="{2742064D-2A58-410B-874C-764BDB017768}"/>
    <cellStyle name="Comma 10 5 2" xfId="825" xr:uid="{41F4BC79-CED8-44FB-AFE6-AFB98158B7DD}"/>
    <cellStyle name="Comma 10 6" xfId="637" xr:uid="{3CB20BE1-FCFA-4260-8F04-5CD9DF4FE12C}"/>
    <cellStyle name="Comma 11" xfId="183" xr:uid="{00000000-0005-0000-0000-00005B000000}"/>
    <cellStyle name="Comma 11 2" xfId="184" xr:uid="{00000000-0005-0000-0000-00005C000000}"/>
    <cellStyle name="Comma 11 2 2" xfId="402" xr:uid="{FCD08328-BD8A-40D9-B82B-D6BAA4CA14E0}"/>
    <cellStyle name="Comma 11 2 2 2" xfId="826" xr:uid="{F3B6E114-33A7-4125-A3BF-AF02A3461B80}"/>
    <cellStyle name="Comma 11 2 3" xfId="644" xr:uid="{7068CD38-216C-4A8E-B659-4614BDCC6BBD}"/>
    <cellStyle name="Comma 11 3" xfId="185" xr:uid="{00000000-0005-0000-0000-00005D000000}"/>
    <cellStyle name="Comma 11 3 2" xfId="403" xr:uid="{7FD4326B-DCFC-403C-8D97-EEC1E2A56C66}"/>
    <cellStyle name="Comma 11 3 2 2" xfId="827" xr:uid="{C202D803-D53E-4734-BB42-8140A930915F}"/>
    <cellStyle name="Comma 11 3 3" xfId="645" xr:uid="{ED85FE26-B2C5-44DD-8184-56ADA3C1952E}"/>
    <cellStyle name="Comma 11 4" xfId="404" xr:uid="{579ED46E-4E1E-4054-B13C-B9E2FE0F640D}"/>
    <cellStyle name="Comma 11 4 2" xfId="828" xr:uid="{F000F416-766A-4244-AE3C-814AB1E5D13E}"/>
    <cellStyle name="Comma 11 5" xfId="643" xr:uid="{F6DE1E45-A199-461E-A38D-F2975E83CE42}"/>
    <cellStyle name="Comma 12" xfId="186" xr:uid="{00000000-0005-0000-0000-00005E000000}"/>
    <cellStyle name="Comma 12 2" xfId="405" xr:uid="{40B752D4-DFEF-4475-A40F-5990486FCD56}"/>
    <cellStyle name="Comma 12 2 2" xfId="829" xr:uid="{8500C63A-09E1-4CB2-9627-4035A517905F}"/>
    <cellStyle name="Comma 12 3" xfId="646" xr:uid="{44E22F90-D9B8-4DE8-825C-E39AF392671D}"/>
    <cellStyle name="Comma 13" xfId="187" xr:uid="{00000000-0005-0000-0000-00005F000000}"/>
    <cellStyle name="Comma 13 2" xfId="406" xr:uid="{BFC0AD9B-7F84-4896-BD2F-E51CE9AE7E11}"/>
    <cellStyle name="Comma 13 2 2" xfId="830" xr:uid="{99158AD7-374E-4E5D-902C-0A223FF9BB45}"/>
    <cellStyle name="Comma 13 3" xfId="647" xr:uid="{219132B8-4C90-471E-A86E-C94FA51E8E66}"/>
    <cellStyle name="Comma 14" xfId="188" xr:uid="{00000000-0005-0000-0000-000060000000}"/>
    <cellStyle name="Comma 14 2" xfId="407" xr:uid="{7B69A5B2-2EA3-465F-8A0C-A093EC8E29BD}"/>
    <cellStyle name="Comma 14 2 2" xfId="831" xr:uid="{6FD4BD2D-A736-4096-9A85-2721ECB16641}"/>
    <cellStyle name="Comma 14 3" xfId="648" xr:uid="{1F7994D6-4E55-4728-808B-207D47E6D1C3}"/>
    <cellStyle name="Comma 2" xfId="52" xr:uid="{00000000-0005-0000-0000-000061000000}"/>
    <cellStyle name="Comma 2 2" xfId="61" xr:uid="{00000000-0005-0000-0000-000062000000}"/>
    <cellStyle name="Comma 2 3" xfId="89" xr:uid="{00000000-0005-0000-0000-000063000000}"/>
    <cellStyle name="Comma 2 3 2" xfId="147" xr:uid="{00000000-0005-0000-0000-000064000000}"/>
    <cellStyle name="Comma 2 3 2 2" xfId="189" xr:uid="{00000000-0005-0000-0000-000065000000}"/>
    <cellStyle name="Comma 2 3 2 2 2" xfId="190" xr:uid="{00000000-0005-0000-0000-000066000000}"/>
    <cellStyle name="Comma 2 3 2 2 2 2" xfId="408" xr:uid="{A25E80D8-EE71-4B2B-8F9F-A66951E3E37D}"/>
    <cellStyle name="Comma 2 3 2 2 2 2 2" xfId="832" xr:uid="{49ECD439-36B9-4DA1-8789-384756B3CAE9}"/>
    <cellStyle name="Comma 2 3 2 2 2 3" xfId="650" xr:uid="{0AB2B574-6F65-4AA3-A229-E457F1E5B409}"/>
    <cellStyle name="Comma 2 3 2 2 3" xfId="191" xr:uid="{00000000-0005-0000-0000-000067000000}"/>
    <cellStyle name="Comma 2 3 2 2 3 2" xfId="409" xr:uid="{5A156464-B0EB-4EBB-B976-5276E4135340}"/>
    <cellStyle name="Comma 2 3 2 2 3 2 2" xfId="833" xr:uid="{424CE41A-E476-4AF2-925D-6E3EEC928F82}"/>
    <cellStyle name="Comma 2 3 2 2 3 3" xfId="651" xr:uid="{E4F109A4-2DC2-4FEF-A2BE-D5BBC7897CC5}"/>
    <cellStyle name="Comma 2 3 2 2 4" xfId="410" xr:uid="{A454351B-B580-4D86-9F71-89B0C7C4E67D}"/>
    <cellStyle name="Comma 2 3 2 2 4 2" xfId="834" xr:uid="{D36FDC9B-2028-4BA0-AFA0-60D06D0C2910}"/>
    <cellStyle name="Comma 2 3 2 2 5" xfId="649" xr:uid="{B4F450DA-B9AA-40C4-BFEA-9FDF94994751}"/>
    <cellStyle name="Comma 2 3 2 3" xfId="192" xr:uid="{00000000-0005-0000-0000-000068000000}"/>
    <cellStyle name="Comma 2 3 2 3 2" xfId="411" xr:uid="{D5CC823F-1240-4F7A-A772-333975BCD97A}"/>
    <cellStyle name="Comma 2 3 2 3 2 2" xfId="835" xr:uid="{1CDD75F1-BCF3-42B8-914B-FB3820B46578}"/>
    <cellStyle name="Comma 2 3 2 3 3" xfId="652" xr:uid="{120E0632-2318-4012-B8E0-8BB8B06DA06E}"/>
    <cellStyle name="Comma 2 3 2 4" xfId="193" xr:uid="{00000000-0005-0000-0000-000069000000}"/>
    <cellStyle name="Comma 2 3 2 4 2" xfId="412" xr:uid="{D5B1CAF5-46C0-4436-9C92-2A877DA17E4F}"/>
    <cellStyle name="Comma 2 3 2 4 2 2" xfId="836" xr:uid="{751EEEE4-BA4B-4682-88A0-719C5B92345A}"/>
    <cellStyle name="Comma 2 3 2 4 3" xfId="653" xr:uid="{E46EC01F-8D43-4841-ADC6-0B291FF83AD2}"/>
    <cellStyle name="Comma 2 3 2 5" xfId="413" xr:uid="{A53E3F87-2C93-40E4-A4CF-659ACD4C4798}"/>
    <cellStyle name="Comma 2 3 2 5 2" xfId="837" xr:uid="{F35626EA-5F9C-489B-8F11-F44EC5B9F80E}"/>
    <cellStyle name="Comma 2 3 2 6" xfId="635" xr:uid="{4E896748-2748-4F35-8522-0DF46BD6530B}"/>
    <cellStyle name="Comma 2 3 3" xfId="194" xr:uid="{00000000-0005-0000-0000-00006A000000}"/>
    <cellStyle name="Comma 2 3 3 2" xfId="195" xr:uid="{00000000-0005-0000-0000-00006B000000}"/>
    <cellStyle name="Comma 2 3 3 2 2" xfId="414" xr:uid="{243EDDB4-C043-4A54-BEF6-AF28CA3A8030}"/>
    <cellStyle name="Comma 2 3 3 2 2 2" xfId="838" xr:uid="{A59FA8C7-7AE3-4E02-9F64-679E5E39DE41}"/>
    <cellStyle name="Comma 2 3 3 2 3" xfId="655" xr:uid="{4027DFDE-1D29-46EA-AEDC-FBFD87567A48}"/>
    <cellStyle name="Comma 2 3 3 3" xfId="196" xr:uid="{00000000-0005-0000-0000-00006C000000}"/>
    <cellStyle name="Comma 2 3 3 3 2" xfId="415" xr:uid="{6A72EC37-686E-4A2E-A114-248A84CFAAB1}"/>
    <cellStyle name="Comma 2 3 3 3 2 2" xfId="839" xr:uid="{2E8B3FA0-10C9-40C0-936D-25AE937A297E}"/>
    <cellStyle name="Comma 2 3 3 3 3" xfId="656" xr:uid="{56F2D948-A74C-4FF9-B412-2DCA901DBDDA}"/>
    <cellStyle name="Comma 2 3 3 4" xfId="416" xr:uid="{889C703C-D3BA-42D1-89C7-56C7D28F3650}"/>
    <cellStyle name="Comma 2 3 3 4 2" xfId="840" xr:uid="{64EFD5E3-B83B-4026-9D36-4B764DDEE2FE}"/>
    <cellStyle name="Comma 2 3 3 5" xfId="654" xr:uid="{09724138-5E4A-447A-9BB8-43385F186487}"/>
    <cellStyle name="Comma 2 3 4" xfId="197" xr:uid="{00000000-0005-0000-0000-00006D000000}"/>
    <cellStyle name="Comma 2 3 4 2" xfId="417" xr:uid="{71982D2C-4A12-4850-9976-F9EA07E7F546}"/>
    <cellStyle name="Comma 2 3 4 2 2" xfId="841" xr:uid="{5E410F03-823E-4BD1-BA3D-DE6B4EE179BF}"/>
    <cellStyle name="Comma 2 3 4 3" xfId="657" xr:uid="{C0388AFB-505E-41CA-AD92-2F799D906BCB}"/>
    <cellStyle name="Comma 2 3 5" xfId="198" xr:uid="{00000000-0005-0000-0000-00006E000000}"/>
    <cellStyle name="Comma 2 3 5 2" xfId="418" xr:uid="{27DF3B28-4FBD-4A38-A5E9-4F9727C7EEB7}"/>
    <cellStyle name="Comma 2 3 5 2 2" xfId="842" xr:uid="{2A2477A2-27B2-497B-A64C-BCE83D560D2B}"/>
    <cellStyle name="Comma 2 3 5 3" xfId="658" xr:uid="{574D70E1-2327-4562-B93A-EBF2A13B72E5}"/>
    <cellStyle name="Comma 2 3 6" xfId="419" xr:uid="{0680D3A1-F1D1-4F2B-B05F-898C4212D763}"/>
    <cellStyle name="Comma 2 3 6 2" xfId="843" xr:uid="{7418A177-8DA6-4496-AA04-3562B8B5C920}"/>
    <cellStyle name="Comma 2 3 7" xfId="621" xr:uid="{1CA534B2-92C7-4893-ABC5-42401EEFDADE}"/>
    <cellStyle name="Comma 3" xfId="53" xr:uid="{00000000-0005-0000-0000-00006F000000}"/>
    <cellStyle name="Comma 3 2" xfId="62" xr:uid="{00000000-0005-0000-0000-000070000000}"/>
    <cellStyle name="Comma 3 3" xfId="199" xr:uid="{00000000-0005-0000-0000-000071000000}"/>
    <cellStyle name="Comma 3 4" xfId="200" xr:uid="{00000000-0005-0000-0000-000072000000}"/>
    <cellStyle name="Comma 3 4 2" xfId="201" xr:uid="{00000000-0005-0000-0000-000073000000}"/>
    <cellStyle name="Comma 3 4 2 2" xfId="202" xr:uid="{00000000-0005-0000-0000-000074000000}"/>
    <cellStyle name="Comma 3 4 2 2 2" xfId="420" xr:uid="{A167955A-8399-49B4-89C7-1DD251BDB19E}"/>
    <cellStyle name="Comma 3 4 2 2 2 2" xfId="844" xr:uid="{F66AF1E3-38D6-4DDE-978D-C33B1FFD1D6F}"/>
    <cellStyle name="Comma 3 4 2 2 3" xfId="661" xr:uid="{B7F24072-154D-4DFE-A330-62805B2EA250}"/>
    <cellStyle name="Comma 3 4 2 3" xfId="203" xr:uid="{00000000-0005-0000-0000-000075000000}"/>
    <cellStyle name="Comma 3 4 2 3 2" xfId="421" xr:uid="{43E912CE-1CDD-4DB2-AD2F-DAF6BD3EFEA5}"/>
    <cellStyle name="Comma 3 4 2 3 2 2" xfId="845" xr:uid="{53564E96-8606-4F60-99C5-342D6D522FCF}"/>
    <cellStyle name="Comma 3 4 2 3 3" xfId="662" xr:uid="{DF5B7EAC-EA40-4C2C-BB61-40BEFB9E1F4F}"/>
    <cellStyle name="Comma 3 4 2 4" xfId="422" xr:uid="{F6633967-A761-48E1-8ADF-FE90270E3A3D}"/>
    <cellStyle name="Comma 3 4 2 4 2" xfId="846" xr:uid="{575AD638-7ED6-4327-80C1-3FB606C2AB0B}"/>
    <cellStyle name="Comma 3 4 2 5" xfId="660" xr:uid="{26A66271-2D37-4E90-AD84-BD748C066DF0}"/>
    <cellStyle name="Comma 3 4 3" xfId="204" xr:uid="{00000000-0005-0000-0000-000076000000}"/>
    <cellStyle name="Comma 3 4 3 2" xfId="423" xr:uid="{2A5E2221-937C-467D-B49A-7E65F8E301F8}"/>
    <cellStyle name="Comma 3 4 3 2 2" xfId="847" xr:uid="{43A32D92-DD35-428E-A6F0-4F0D9BB7A8AE}"/>
    <cellStyle name="Comma 3 4 3 3" xfId="663" xr:uid="{99EFECB1-5807-4C6D-8696-40223CE3B53D}"/>
    <cellStyle name="Comma 3 4 4" xfId="205" xr:uid="{00000000-0005-0000-0000-000077000000}"/>
    <cellStyle name="Comma 3 4 4 2" xfId="424" xr:uid="{73984F7F-D529-4328-807C-50F408BB2DF6}"/>
    <cellStyle name="Comma 3 4 4 2 2" xfId="848" xr:uid="{09079515-568C-47E7-80B1-8574A14F16E1}"/>
    <cellStyle name="Comma 3 4 4 3" xfId="664" xr:uid="{C8FE9A5F-7DA0-4206-993F-411D3E4E198B}"/>
    <cellStyle name="Comma 3 4 5" xfId="425" xr:uid="{8110D55C-155C-4762-BE16-AD1B945E8242}"/>
    <cellStyle name="Comma 3 4 5 2" xfId="849" xr:uid="{44262787-807A-44F1-97C7-65A73AF7AE63}"/>
    <cellStyle name="Comma 3 4 6" xfId="659" xr:uid="{D0E2E052-C47A-4020-9643-616F023771C6}"/>
    <cellStyle name="Comma 3 5" xfId="206" xr:uid="{00000000-0005-0000-0000-000078000000}"/>
    <cellStyle name="Comma 3 5 2" xfId="207" xr:uid="{00000000-0005-0000-0000-000079000000}"/>
    <cellStyle name="Comma 3 5 2 2" xfId="426" xr:uid="{8D4F898B-D356-4D85-80DB-BFB446CDBF89}"/>
    <cellStyle name="Comma 3 5 2 2 2" xfId="850" xr:uid="{D293AFEE-8665-4051-9FB4-3C4045CADD34}"/>
    <cellStyle name="Comma 3 5 2 3" xfId="666" xr:uid="{B0118F85-24F0-4FA8-863D-AD0BA66EB51B}"/>
    <cellStyle name="Comma 3 5 3" xfId="208" xr:uid="{00000000-0005-0000-0000-00007A000000}"/>
    <cellStyle name="Comma 3 5 3 2" xfId="427" xr:uid="{8A1B3F88-CA42-4C84-A1A8-EC5B916AB7E0}"/>
    <cellStyle name="Comma 3 5 3 2 2" xfId="851" xr:uid="{CF8CCE51-D29A-430C-B0B6-E5206DC0579E}"/>
    <cellStyle name="Comma 3 5 3 3" xfId="667" xr:uid="{BEA1BD1D-03A5-45D0-82F9-719A7BD63408}"/>
    <cellStyle name="Comma 3 5 4" xfId="428" xr:uid="{F359392E-804B-4836-9D87-5F9DD2228C4A}"/>
    <cellStyle name="Comma 3 5 4 2" xfId="852" xr:uid="{17200563-FB45-4026-AEB9-E6F3806BF1C6}"/>
    <cellStyle name="Comma 3 5 5" xfId="665" xr:uid="{DB1A8A67-1AEF-479A-8DB7-8C59DD7ACA4A}"/>
    <cellStyle name="Comma 3 6" xfId="209" xr:uid="{00000000-0005-0000-0000-00007B000000}"/>
    <cellStyle name="Comma 3 6 2" xfId="429" xr:uid="{7BF090DE-EC5E-456A-9B39-6597DE37A0F1}"/>
    <cellStyle name="Comma 3 6 2 2" xfId="853" xr:uid="{3FD0159E-67DF-4C77-95A9-0281CE1997DB}"/>
    <cellStyle name="Comma 3 6 3" xfId="668" xr:uid="{C198AA6A-A395-427E-A8D5-AACD6BCD47D4}"/>
    <cellStyle name="Comma 3 7" xfId="210" xr:uid="{00000000-0005-0000-0000-00007C000000}"/>
    <cellStyle name="Comma 3 7 2" xfId="430" xr:uid="{27B763D0-D75E-458E-9183-B1C7864BFE5D}"/>
    <cellStyle name="Comma 3 7 2 2" xfId="854" xr:uid="{7EF4253E-7515-4CB6-A3F4-73576F6FFD42}"/>
    <cellStyle name="Comma 3 7 3" xfId="669" xr:uid="{B616D872-699D-4B23-902B-13B4A35D8D93}"/>
    <cellStyle name="Comma 4" xfId="54" xr:uid="{00000000-0005-0000-0000-00007D000000}"/>
    <cellStyle name="Comma 4 2" xfId="63" xr:uid="{00000000-0005-0000-0000-00007E000000}"/>
    <cellStyle name="Comma 5" xfId="55" xr:uid="{00000000-0005-0000-0000-00007F000000}"/>
    <cellStyle name="Comma 5 2" xfId="64" xr:uid="{00000000-0005-0000-0000-000080000000}"/>
    <cellStyle name="Comma 5 3" xfId="76" xr:uid="{00000000-0005-0000-0000-000081000000}"/>
    <cellStyle name="Comma 5 3 2" xfId="141" xr:uid="{00000000-0005-0000-0000-000082000000}"/>
    <cellStyle name="Comma 5 3 2 2" xfId="211" xr:uid="{00000000-0005-0000-0000-000083000000}"/>
    <cellStyle name="Comma 5 3 2 2 2" xfId="212" xr:uid="{00000000-0005-0000-0000-000084000000}"/>
    <cellStyle name="Comma 5 3 2 2 2 2" xfId="431" xr:uid="{FB440779-F846-48B8-B0FF-D5F4EBB453A4}"/>
    <cellStyle name="Comma 5 3 2 2 2 2 2" xfId="855" xr:uid="{FA1B1880-ABD9-4C3D-9E16-B50DBF76EFE0}"/>
    <cellStyle name="Comma 5 3 2 2 2 3" xfId="671" xr:uid="{BEFAB8AA-CCB5-47CF-9C27-2F617E6368DB}"/>
    <cellStyle name="Comma 5 3 2 2 3" xfId="213" xr:uid="{00000000-0005-0000-0000-000085000000}"/>
    <cellStyle name="Comma 5 3 2 2 3 2" xfId="432" xr:uid="{3B1E6EFF-F98D-4303-A753-5375918D6FB6}"/>
    <cellStyle name="Comma 5 3 2 2 3 2 2" xfId="856" xr:uid="{3FD5A28B-C778-4C6C-88C4-CDD551AE2030}"/>
    <cellStyle name="Comma 5 3 2 2 3 3" xfId="672" xr:uid="{C1D68297-7281-4954-B5DC-63000FEB5872}"/>
    <cellStyle name="Comma 5 3 2 2 4" xfId="433" xr:uid="{B9B737FE-6BB2-49C9-9D5A-857030AD2864}"/>
    <cellStyle name="Comma 5 3 2 2 4 2" xfId="857" xr:uid="{465303D1-A57A-4C39-A304-BD82F1E71CDB}"/>
    <cellStyle name="Comma 5 3 2 2 5" xfId="670" xr:uid="{D7BD4619-AA3C-49BA-93C5-0A5452F69CA0}"/>
    <cellStyle name="Comma 5 3 2 3" xfId="214" xr:uid="{00000000-0005-0000-0000-000086000000}"/>
    <cellStyle name="Comma 5 3 2 3 2" xfId="434" xr:uid="{DC7140C5-8529-42CA-ADE1-5819FF4037D9}"/>
    <cellStyle name="Comma 5 3 2 3 2 2" xfId="858" xr:uid="{1002963A-7799-495C-9537-681AB488931A}"/>
    <cellStyle name="Comma 5 3 2 3 3" xfId="673" xr:uid="{6A62DB25-B5D7-446E-B6B3-160F65E12293}"/>
    <cellStyle name="Comma 5 3 2 4" xfId="215" xr:uid="{00000000-0005-0000-0000-000087000000}"/>
    <cellStyle name="Comma 5 3 2 4 2" xfId="435" xr:uid="{1905484E-CDF4-48C8-B1DC-B75865FF4B75}"/>
    <cellStyle name="Comma 5 3 2 4 2 2" xfId="859" xr:uid="{0D7A636C-375B-4C36-9C8A-E66C24C9E597}"/>
    <cellStyle name="Comma 5 3 2 4 3" xfId="674" xr:uid="{4B3CED7F-6B23-4CF4-8F51-97506E857301}"/>
    <cellStyle name="Comma 5 3 2 5" xfId="436" xr:uid="{7EB1F850-B4AD-49A3-85D5-FDF3C2AD0C32}"/>
    <cellStyle name="Comma 5 3 2 5 2" xfId="860" xr:uid="{A4281C24-2840-4389-BE43-D25E3B07C671}"/>
    <cellStyle name="Comma 5 3 2 6" xfId="630" xr:uid="{A5697594-3F98-4495-AC84-AB78BE133FF0}"/>
    <cellStyle name="Comma 5 3 3" xfId="216" xr:uid="{00000000-0005-0000-0000-000088000000}"/>
    <cellStyle name="Comma 5 3 3 2" xfId="217" xr:uid="{00000000-0005-0000-0000-000089000000}"/>
    <cellStyle name="Comma 5 3 3 2 2" xfId="437" xr:uid="{A2C586BC-8844-4F0C-B07F-EDE354BAACE7}"/>
    <cellStyle name="Comma 5 3 3 2 2 2" xfId="861" xr:uid="{0E89DA7F-51D5-4DE6-9829-5C96C19851E6}"/>
    <cellStyle name="Comma 5 3 3 2 3" xfId="676" xr:uid="{227ACE62-0E75-4B8F-A942-2BBFC1DA262C}"/>
    <cellStyle name="Comma 5 3 3 3" xfId="218" xr:uid="{00000000-0005-0000-0000-00008A000000}"/>
    <cellStyle name="Comma 5 3 3 3 2" xfId="438" xr:uid="{4EC2AAF3-20D9-4255-B927-805585FE8022}"/>
    <cellStyle name="Comma 5 3 3 3 2 2" xfId="862" xr:uid="{EEC653BB-B21A-46E5-BDE4-AAD8890B648A}"/>
    <cellStyle name="Comma 5 3 3 3 3" xfId="677" xr:uid="{0DB3BAB4-80A6-428C-9E7A-48123526AEC1}"/>
    <cellStyle name="Comma 5 3 3 4" xfId="439" xr:uid="{DDD12D53-A544-40A9-86D1-62D65DD5DFEC}"/>
    <cellStyle name="Comma 5 3 3 4 2" xfId="863" xr:uid="{DA6079B0-E18E-49EF-830D-94E1CEB9D373}"/>
    <cellStyle name="Comma 5 3 3 5" xfId="675" xr:uid="{654E6775-0AC1-4F4B-A2F7-2F3DC9B2E37C}"/>
    <cellStyle name="Comma 5 3 4" xfId="219" xr:uid="{00000000-0005-0000-0000-00008B000000}"/>
    <cellStyle name="Comma 5 3 4 2" xfId="440" xr:uid="{E9271BEF-1EE5-44DE-9FD0-5B769520A038}"/>
    <cellStyle name="Comma 5 3 4 2 2" xfId="864" xr:uid="{19090DD2-E1E6-4EF5-952C-0B6E8CACA297}"/>
    <cellStyle name="Comma 5 3 4 3" xfId="678" xr:uid="{D3BE45B1-6045-476D-B957-AF8D5284ED3E}"/>
    <cellStyle name="Comma 5 3 5" xfId="220" xr:uid="{00000000-0005-0000-0000-00008C000000}"/>
    <cellStyle name="Comma 5 3 5 2" xfId="441" xr:uid="{3C3DF756-BC16-4402-A6B1-7D898CDF6441}"/>
    <cellStyle name="Comma 5 3 5 2 2" xfId="865" xr:uid="{4A36EF8B-A0B4-46BE-A9BC-8B1D2F225018}"/>
    <cellStyle name="Comma 5 3 5 3" xfId="679" xr:uid="{FCBF8F9F-4F47-4638-983A-632FFD7B5813}"/>
    <cellStyle name="Comma 5 3 6" xfId="442" xr:uid="{B18BC837-5E6D-4B8B-80B4-40E8EF212297}"/>
    <cellStyle name="Comma 5 3 6 2" xfId="866" xr:uid="{9C0267DB-F7A0-4AF9-8668-393F665188D1}"/>
    <cellStyle name="Comma 5 3 7" xfId="616" xr:uid="{7A2DA45C-2543-4D0D-AB3F-05AD32742295}"/>
    <cellStyle name="Comma 5 4" xfId="136" xr:uid="{00000000-0005-0000-0000-00008D000000}"/>
    <cellStyle name="Comma 5 4 2" xfId="221" xr:uid="{00000000-0005-0000-0000-00008E000000}"/>
    <cellStyle name="Comma 5 4 2 2" xfId="222" xr:uid="{00000000-0005-0000-0000-00008F000000}"/>
    <cellStyle name="Comma 5 4 2 2 2" xfId="443" xr:uid="{4CE8CBD2-8141-4A4F-BF70-AC2DE24DDD4C}"/>
    <cellStyle name="Comma 5 4 2 2 2 2" xfId="867" xr:uid="{C754C89D-38B8-4505-B126-195A586739D9}"/>
    <cellStyle name="Comma 5 4 2 2 3" xfId="681" xr:uid="{C4B153E8-6732-4FD0-9ABE-0B4616CC2FB1}"/>
    <cellStyle name="Comma 5 4 2 3" xfId="223" xr:uid="{00000000-0005-0000-0000-000090000000}"/>
    <cellStyle name="Comma 5 4 2 3 2" xfId="444" xr:uid="{C9EBA8C8-F6C9-494F-BD95-A73C07B42683}"/>
    <cellStyle name="Comma 5 4 2 3 2 2" xfId="868" xr:uid="{1A2496E5-1AE3-4E57-A13B-A44E04ECF474}"/>
    <cellStyle name="Comma 5 4 2 3 3" xfId="682" xr:uid="{981BAD56-E2FE-46E2-BF4E-34FEEB53B729}"/>
    <cellStyle name="Comma 5 4 2 4" xfId="445" xr:uid="{C615C0CF-BD7A-402C-AE00-301F8ECE2475}"/>
    <cellStyle name="Comma 5 4 2 4 2" xfId="869" xr:uid="{69D0CB89-10BC-4AD6-B130-B3FCCA746EF8}"/>
    <cellStyle name="Comma 5 4 2 5" xfId="680" xr:uid="{5EED04F3-D163-4835-A992-E77856728B6D}"/>
    <cellStyle name="Comma 5 4 3" xfId="224" xr:uid="{00000000-0005-0000-0000-000091000000}"/>
    <cellStyle name="Comma 5 4 3 2" xfId="446" xr:uid="{672F7C81-9E09-4B2B-8651-0ADA5AEC8AF5}"/>
    <cellStyle name="Comma 5 4 3 2 2" xfId="870" xr:uid="{7DA4496E-E437-4F44-82C6-9F7D31D06D4F}"/>
    <cellStyle name="Comma 5 4 3 3" xfId="683" xr:uid="{06366DD8-5296-4857-B369-A532A803327E}"/>
    <cellStyle name="Comma 5 4 4" xfId="225" xr:uid="{00000000-0005-0000-0000-000092000000}"/>
    <cellStyle name="Comma 5 4 4 2" xfId="447" xr:uid="{8420FDCC-1F5D-4112-9FA1-D4DFF27C3E59}"/>
    <cellStyle name="Comma 5 4 4 2 2" xfId="871" xr:uid="{760948BD-E05E-4608-BC4C-2BDB8F2DC97F}"/>
    <cellStyle name="Comma 5 4 4 3" xfId="684" xr:uid="{082CC91E-10A9-4F28-A48A-B9F92E3C938D}"/>
    <cellStyle name="Comma 5 4 5" xfId="448" xr:uid="{0AE1749A-8C48-4168-A2A9-38FF58A4B867}"/>
    <cellStyle name="Comma 5 4 5 2" xfId="872" xr:uid="{66F793D8-EBD1-4BCA-BEEE-C7E0610F3711}"/>
    <cellStyle name="Comma 5 4 6" xfId="626" xr:uid="{BDEF089C-9ED0-4063-8B14-9C2D1DBC68CE}"/>
    <cellStyle name="Comma 5 5" xfId="226" xr:uid="{00000000-0005-0000-0000-000093000000}"/>
    <cellStyle name="Comma 5 5 2" xfId="449" xr:uid="{903008BB-8C0E-4F58-908A-0FED04A4F61E}"/>
    <cellStyle name="Comma 5 5 2 2" xfId="873" xr:uid="{790C36F0-45FB-4874-A1B0-59C3EFA3B992}"/>
    <cellStyle name="Comma 5 5 3" xfId="685" xr:uid="{F935CB27-6D37-4F99-A099-750AE338422F}"/>
    <cellStyle name="Comma 5 6" xfId="450" xr:uid="{9B41598D-8D37-40D8-BFD7-DB50552C5D6B}"/>
    <cellStyle name="Comma 5 6 2" xfId="874" xr:uid="{EFDEDC3E-589A-4702-86B5-2C9C869DF157}"/>
    <cellStyle name="Comma 5 7" xfId="611" xr:uid="{17DD2690-EAD2-45DC-BE3F-034FBF1566B8}"/>
    <cellStyle name="Comma 6" xfId="65" xr:uid="{00000000-0005-0000-0000-000094000000}"/>
    <cellStyle name="Comma 7" xfId="60" xr:uid="{00000000-0005-0000-0000-000095000000}"/>
    <cellStyle name="Comma 7 2" xfId="138" xr:uid="{00000000-0005-0000-0000-000096000000}"/>
    <cellStyle name="Comma 8" xfId="75" xr:uid="{00000000-0005-0000-0000-000097000000}"/>
    <cellStyle name="Comma 8 2" xfId="140" xr:uid="{00000000-0005-0000-0000-000098000000}"/>
    <cellStyle name="Comma 8 2 2" xfId="227" xr:uid="{00000000-0005-0000-0000-000099000000}"/>
    <cellStyle name="Comma 8 2 2 2" xfId="228" xr:uid="{00000000-0005-0000-0000-00009A000000}"/>
    <cellStyle name="Comma 8 2 2 2 2" xfId="451" xr:uid="{83CBD934-2AED-493D-8BBE-0BD48B91B51B}"/>
    <cellStyle name="Comma 8 2 2 2 2 2" xfId="875" xr:uid="{C7FDDA5D-1DD7-465C-9739-7CE641973F0D}"/>
    <cellStyle name="Comma 8 2 2 2 3" xfId="687" xr:uid="{DE40156A-8BA3-41EE-BD4B-17462FBE8F34}"/>
    <cellStyle name="Comma 8 2 2 3" xfId="229" xr:uid="{00000000-0005-0000-0000-00009B000000}"/>
    <cellStyle name="Comma 8 2 2 3 2" xfId="452" xr:uid="{2E5586B3-6FD5-46E5-AD97-C2B0ECABF6F6}"/>
    <cellStyle name="Comma 8 2 2 3 2 2" xfId="876" xr:uid="{A75B2486-84DB-4656-A3C7-260F26DC258E}"/>
    <cellStyle name="Comma 8 2 2 3 3" xfId="688" xr:uid="{7E51175D-D7D8-4164-8DAA-9BBBC15B4A74}"/>
    <cellStyle name="Comma 8 2 2 4" xfId="453" xr:uid="{0FD17967-5CE8-483A-9ACA-33BB89D05D10}"/>
    <cellStyle name="Comma 8 2 2 4 2" xfId="877" xr:uid="{CD31D749-F7C8-4791-896C-06D76FF861D1}"/>
    <cellStyle name="Comma 8 2 2 5" xfId="686" xr:uid="{207D4EAE-6267-467C-B467-2A44E5095975}"/>
    <cellStyle name="Comma 8 2 3" xfId="230" xr:uid="{00000000-0005-0000-0000-00009C000000}"/>
    <cellStyle name="Comma 8 2 3 2" xfId="454" xr:uid="{7304BAEE-9F44-4B6D-ADF5-E388E98E1CAE}"/>
    <cellStyle name="Comma 8 2 3 2 2" xfId="878" xr:uid="{98F3FD4A-2E59-4794-A989-5FAD44D2792B}"/>
    <cellStyle name="Comma 8 2 3 3" xfId="689" xr:uid="{B3A17283-692C-4FBE-8B8F-DC060116A637}"/>
    <cellStyle name="Comma 8 2 4" xfId="231" xr:uid="{00000000-0005-0000-0000-00009D000000}"/>
    <cellStyle name="Comma 8 2 4 2" xfId="455" xr:uid="{C173245A-7D78-4550-A61E-65764FD3AB0F}"/>
    <cellStyle name="Comma 8 2 4 2 2" xfId="879" xr:uid="{37401717-B0A8-4715-9194-A99DF01008E6}"/>
    <cellStyle name="Comma 8 2 4 3" xfId="690" xr:uid="{674310FA-A06A-48A6-93E7-6EDEC7F8FA96}"/>
    <cellStyle name="Comma 8 2 5" xfId="456" xr:uid="{FA43AE21-C7C7-4EB4-BAE9-6A539C443D86}"/>
    <cellStyle name="Comma 8 2 5 2" xfId="880" xr:uid="{2D82566D-DB61-4A56-88BC-8854AA574B1C}"/>
    <cellStyle name="Comma 8 2 6" xfId="629" xr:uid="{F19E26B7-D57F-45FA-A016-1C7C18A04938}"/>
    <cellStyle name="Comma 8 3" xfId="232" xr:uid="{00000000-0005-0000-0000-00009E000000}"/>
    <cellStyle name="Comma 8 3 2" xfId="233" xr:uid="{00000000-0005-0000-0000-00009F000000}"/>
    <cellStyle name="Comma 8 3 2 2" xfId="457" xr:uid="{70D5283B-4C09-43FE-8E7D-E05DA6BA15E0}"/>
    <cellStyle name="Comma 8 3 2 2 2" xfId="881" xr:uid="{F53D8C76-A1FD-4285-A86B-B89C397E87EA}"/>
    <cellStyle name="Comma 8 3 2 3" xfId="692" xr:uid="{A20D31DD-0CC5-4533-AE1E-49F2988AD03D}"/>
    <cellStyle name="Comma 8 3 3" xfId="234" xr:uid="{00000000-0005-0000-0000-0000A0000000}"/>
    <cellStyle name="Comma 8 3 3 2" xfId="458" xr:uid="{95A99E9D-BF9A-4F43-BFE3-565F4D6BA975}"/>
    <cellStyle name="Comma 8 3 3 2 2" xfId="882" xr:uid="{7DE39235-BE3C-45EF-B5B7-40609EA40795}"/>
    <cellStyle name="Comma 8 3 3 3" xfId="693" xr:uid="{B6D898BA-86F1-4C95-9F48-F8C611D5C851}"/>
    <cellStyle name="Comma 8 3 4" xfId="459" xr:uid="{0101A878-A2C4-4244-89FF-D59EA545223B}"/>
    <cellStyle name="Comma 8 3 4 2" xfId="883" xr:uid="{351494CF-9870-47F6-A40E-65F12CCEA371}"/>
    <cellStyle name="Comma 8 3 5" xfId="691" xr:uid="{E572D95C-EFB5-43D2-BF67-7E1325343AE5}"/>
    <cellStyle name="Comma 8 4" xfId="235" xr:uid="{00000000-0005-0000-0000-0000A1000000}"/>
    <cellStyle name="Comma 8 4 2" xfId="460" xr:uid="{07B844FF-D998-4DB9-A67D-A1DB020B2A84}"/>
    <cellStyle name="Comma 8 4 2 2" xfId="884" xr:uid="{332394D7-86DD-4B9F-9CC4-EAE7AEFEE9E3}"/>
    <cellStyle name="Comma 8 4 3" xfId="694" xr:uid="{0DA45030-F6F2-4EA0-88D3-433E275EE956}"/>
    <cellStyle name="Comma 8 5" xfId="236" xr:uid="{00000000-0005-0000-0000-0000A2000000}"/>
    <cellStyle name="Comma 8 5 2" xfId="461" xr:uid="{5FF482C2-0AC8-4EC2-B6E5-DF36A4D82ADF}"/>
    <cellStyle name="Comma 8 5 2 2" xfId="885" xr:uid="{4D1B9129-01E0-48F5-BCEB-F582DE2F0B20}"/>
    <cellStyle name="Comma 8 5 3" xfId="695" xr:uid="{11CE524B-67A1-42B3-A6B2-C95EA399F54C}"/>
    <cellStyle name="Comma 8 6" xfId="462" xr:uid="{9ADD888D-2C19-49BF-B2E2-3D20543075C8}"/>
    <cellStyle name="Comma 8 6 2" xfId="886" xr:uid="{C31D1ED7-5143-4577-8434-ACA1A87D8395}"/>
    <cellStyle name="Comma 8 7" xfId="615" xr:uid="{BB7048C9-D243-42B3-8014-5363541EE3E0}"/>
    <cellStyle name="Comma 9" xfId="237" xr:uid="{00000000-0005-0000-0000-0000A3000000}"/>
    <cellStyle name="Comma 9 2" xfId="238" xr:uid="{00000000-0005-0000-0000-0000A4000000}"/>
    <cellStyle name="Currency" xfId="29" builtinId="4"/>
    <cellStyle name="Currency 2" xfId="80" xr:uid="{00000000-0005-0000-0000-0000A6000000}"/>
    <cellStyle name="Currency 2 2" xfId="143" xr:uid="{00000000-0005-0000-0000-0000A7000000}"/>
    <cellStyle name="Currency 2 2 2" xfId="239" xr:uid="{00000000-0005-0000-0000-0000A8000000}"/>
    <cellStyle name="Currency 2 2 2 2" xfId="240" xr:uid="{00000000-0005-0000-0000-0000A9000000}"/>
    <cellStyle name="Currency 2 2 2 2 2" xfId="463" xr:uid="{57472429-9FF9-48F5-A922-43C7980B3CCD}"/>
    <cellStyle name="Currency 2 2 2 2 2 2" xfId="887" xr:uid="{2037917C-E2AB-411A-984F-2A3BD7E4971A}"/>
    <cellStyle name="Currency 2 2 2 2 3" xfId="697" xr:uid="{5350483A-2631-45A6-9205-B3CFE26B0B63}"/>
    <cellStyle name="Currency 2 2 2 3" xfId="241" xr:uid="{00000000-0005-0000-0000-0000AA000000}"/>
    <cellStyle name="Currency 2 2 2 3 2" xfId="464" xr:uid="{D44486EA-4DED-4507-9043-4C7729A9B83C}"/>
    <cellStyle name="Currency 2 2 2 3 2 2" xfId="888" xr:uid="{8A3D34F8-0B4C-4DCF-A4B2-F26C5DCB3BB5}"/>
    <cellStyle name="Currency 2 2 2 3 3" xfId="698" xr:uid="{3B47329C-EFC4-4303-8416-8451E8297BF5}"/>
    <cellStyle name="Currency 2 2 2 4" xfId="465" xr:uid="{25CA7254-DD33-4E36-A18A-171A0F3C774C}"/>
    <cellStyle name="Currency 2 2 2 4 2" xfId="889" xr:uid="{A4F4CFEA-7B6F-440B-8DAA-C3B5AB649884}"/>
    <cellStyle name="Currency 2 2 2 5" xfId="696" xr:uid="{43F00303-DBEF-45CE-B9B9-16A41D4DC667}"/>
    <cellStyle name="Currency 2 2 3" xfId="242" xr:uid="{00000000-0005-0000-0000-0000AB000000}"/>
    <cellStyle name="Currency 2 2 3 2" xfId="466" xr:uid="{DF1D81AB-28F2-4718-90D2-492A946B02CE}"/>
    <cellStyle name="Currency 2 2 3 2 2" xfId="890" xr:uid="{701CD270-D07B-4D62-996E-558393700734}"/>
    <cellStyle name="Currency 2 2 3 3" xfId="699" xr:uid="{FA6F2620-4C9E-4DB6-8DFD-0F3E105CEE80}"/>
    <cellStyle name="Currency 2 2 4" xfId="243" xr:uid="{00000000-0005-0000-0000-0000AC000000}"/>
    <cellStyle name="Currency 2 2 4 2" xfId="467" xr:uid="{C5446CB0-5FB0-4285-86DA-732B303DB58F}"/>
    <cellStyle name="Currency 2 2 4 2 2" xfId="891" xr:uid="{FE2BD6FA-B2CA-41FD-A01C-7035DDB67FB8}"/>
    <cellStyle name="Currency 2 2 4 3" xfId="700" xr:uid="{1D5E4118-B206-4332-99FA-A4BD923261FB}"/>
    <cellStyle name="Currency 2 2 5" xfId="468" xr:uid="{F0F5FFEA-E89B-4940-8D81-D29F745BE253}"/>
    <cellStyle name="Currency 2 2 5 2" xfId="892" xr:uid="{F024CCC0-6351-4F55-80E1-59393EC46B05}"/>
    <cellStyle name="Currency 2 2 6" xfId="631" xr:uid="{0EF93607-AD34-4E20-B618-7D3EE67B19A5}"/>
    <cellStyle name="Currency 2 3" xfId="244" xr:uid="{00000000-0005-0000-0000-0000AD000000}"/>
    <cellStyle name="Currency 2 3 2" xfId="245" xr:uid="{00000000-0005-0000-0000-0000AE000000}"/>
    <cellStyle name="Currency 2 3 2 2" xfId="469" xr:uid="{E628CAC1-15C7-4BB3-914C-84A3991EF151}"/>
    <cellStyle name="Currency 2 3 2 2 2" xfId="893" xr:uid="{CD4826A5-F553-4473-829C-C53714522B33}"/>
    <cellStyle name="Currency 2 3 2 3" xfId="702" xr:uid="{599249FE-3B1E-4587-8030-1D19FC7D13B1}"/>
    <cellStyle name="Currency 2 3 3" xfId="246" xr:uid="{00000000-0005-0000-0000-0000AF000000}"/>
    <cellStyle name="Currency 2 3 3 2" xfId="470" xr:uid="{1F9E1147-EC03-4E1D-A442-61DEC7E1B788}"/>
    <cellStyle name="Currency 2 3 3 2 2" xfId="894" xr:uid="{5A54C659-A0B5-49BF-8831-C25EFECA5C17}"/>
    <cellStyle name="Currency 2 3 3 3" xfId="703" xr:uid="{FAC24913-327F-4FEE-91C4-C3FF0F3529EE}"/>
    <cellStyle name="Currency 2 3 4" xfId="471" xr:uid="{20E33063-C657-4B85-8149-B8187E2C77ED}"/>
    <cellStyle name="Currency 2 3 4 2" xfId="895" xr:uid="{5DD3DCCC-3F66-4FB0-A4DE-148A7EA66418}"/>
    <cellStyle name="Currency 2 3 5" xfId="701" xr:uid="{15F98FFD-0170-4443-83C1-ACD22367B25D}"/>
    <cellStyle name="Currency 2 4" xfId="247" xr:uid="{00000000-0005-0000-0000-0000B0000000}"/>
    <cellStyle name="Currency 2 5" xfId="248" xr:uid="{00000000-0005-0000-0000-0000B1000000}"/>
    <cellStyle name="Currency 2 5 2" xfId="472" xr:uid="{CB8F0C02-0563-4B3A-BA15-46F5FD929CC6}"/>
    <cellStyle name="Currency 2 5 2 2" xfId="896" xr:uid="{94A821CC-58D9-44FC-9724-2B5A45E5299C}"/>
    <cellStyle name="Currency 2 5 3" xfId="704" xr:uid="{A2276B84-B27D-4E4E-AF92-C04DED95D580}"/>
    <cellStyle name="Currency 2 6" xfId="249" xr:uid="{00000000-0005-0000-0000-0000B2000000}"/>
    <cellStyle name="Currency 2 6 2" xfId="473" xr:uid="{5B9ED0D8-CD51-4D5F-9847-EB5F133A601C}"/>
    <cellStyle name="Currency 2 6 2 2" xfId="897" xr:uid="{0475E217-3C09-4B82-909B-5C3ECAE3A094}"/>
    <cellStyle name="Currency 2 6 3" xfId="705" xr:uid="{6B1A971E-DA6E-4189-A33D-F035D9071777}"/>
    <cellStyle name="Currency 2 7" xfId="474" xr:uid="{5FFC12AB-6D99-4582-9B5E-43159E1DA9E0}"/>
    <cellStyle name="Currency 2 7 2" xfId="898" xr:uid="{DA91E3BE-2282-4DF1-BABD-B0E15E19F4B9}"/>
    <cellStyle name="Currency 2 8" xfId="617" xr:uid="{43E78098-F63F-45DA-B719-AA1B62B958A7}"/>
    <cellStyle name="Currency 3" xfId="88" xr:uid="{00000000-0005-0000-0000-0000B3000000}"/>
    <cellStyle name="Currency 3 2" xfId="146" xr:uid="{00000000-0005-0000-0000-0000B4000000}"/>
    <cellStyle name="Currency 3 2 2" xfId="250" xr:uid="{00000000-0005-0000-0000-0000B5000000}"/>
    <cellStyle name="Currency 3 2 2 2" xfId="251" xr:uid="{00000000-0005-0000-0000-0000B6000000}"/>
    <cellStyle name="Currency 3 2 2 2 2" xfId="475" xr:uid="{3F058B70-43C2-4AE6-A816-205CACBC6F29}"/>
    <cellStyle name="Currency 3 2 2 2 2 2" xfId="899" xr:uid="{E8432737-5EB9-42B8-AFF2-EAC122905219}"/>
    <cellStyle name="Currency 3 2 2 2 3" xfId="707" xr:uid="{A0354A04-D0EE-46E1-8F90-2C13387250FA}"/>
    <cellStyle name="Currency 3 2 2 3" xfId="252" xr:uid="{00000000-0005-0000-0000-0000B7000000}"/>
    <cellStyle name="Currency 3 2 2 3 2" xfId="476" xr:uid="{FDC95FA4-A2DC-4730-B7F0-1E2F63436B8B}"/>
    <cellStyle name="Currency 3 2 2 3 2 2" xfId="900" xr:uid="{9DDB400C-6E34-49D3-85C6-F3DEDB28C008}"/>
    <cellStyle name="Currency 3 2 2 3 3" xfId="708" xr:uid="{908F3534-A9F9-4D66-AD42-136DCD00AD16}"/>
    <cellStyle name="Currency 3 2 2 4" xfId="477" xr:uid="{E38D46D2-695E-45FD-878C-2057C579419E}"/>
    <cellStyle name="Currency 3 2 2 4 2" xfId="901" xr:uid="{F2530839-59CF-486B-ABCC-0EB5F0FD7663}"/>
    <cellStyle name="Currency 3 2 2 5" xfId="706" xr:uid="{C1FA48A1-2F20-49C5-AE4D-032C5318E934}"/>
    <cellStyle name="Currency 3 2 3" xfId="253" xr:uid="{00000000-0005-0000-0000-0000B8000000}"/>
    <cellStyle name="Currency 3 2 3 2" xfId="478" xr:uid="{5C6AAD6D-226A-47F5-80A8-D477FCF14B6F}"/>
    <cellStyle name="Currency 3 2 3 2 2" xfId="902" xr:uid="{CE220AE7-CA31-4A5D-8DEF-915394D0D39A}"/>
    <cellStyle name="Currency 3 2 3 3" xfId="709" xr:uid="{2640B03F-4190-401B-9AC2-131447D23015}"/>
    <cellStyle name="Currency 3 2 4" xfId="254" xr:uid="{00000000-0005-0000-0000-0000B9000000}"/>
    <cellStyle name="Currency 3 2 4 2" xfId="479" xr:uid="{82B32021-ADDE-4D43-BE4E-75A572658251}"/>
    <cellStyle name="Currency 3 2 4 2 2" xfId="903" xr:uid="{B0104914-5C78-4027-A147-E8497D0B273A}"/>
    <cellStyle name="Currency 3 2 4 3" xfId="710" xr:uid="{5DE384A6-3876-4B96-B6CA-487968FE3CF2}"/>
    <cellStyle name="Currency 3 2 5" xfId="480" xr:uid="{1AF236FA-D03A-4FFD-AFF6-33B2A17582E7}"/>
    <cellStyle name="Currency 3 2 5 2" xfId="904" xr:uid="{0182026A-3BC5-429B-83C7-8A8A49DD855C}"/>
    <cellStyle name="Currency 3 2 6" xfId="634" xr:uid="{9AD78650-BBA3-4A8C-B36E-A0B7B54277D1}"/>
    <cellStyle name="Currency 3 3" xfId="255" xr:uid="{00000000-0005-0000-0000-0000BA000000}"/>
    <cellStyle name="Currency 3 3 2" xfId="256" xr:uid="{00000000-0005-0000-0000-0000BB000000}"/>
    <cellStyle name="Currency 3 3 3" xfId="481" xr:uid="{9D4371E2-1019-4217-983F-3F732A39745C}"/>
    <cellStyle name="Currency 3 3 3 2" xfId="905" xr:uid="{DCF5DBCB-4DB9-4B16-80B9-09287EFA247D}"/>
    <cellStyle name="Currency 3 3 4" xfId="711" xr:uid="{9A9628D5-189F-4232-9D4A-99F20C57BAE8}"/>
    <cellStyle name="Currency 3 4" xfId="482" xr:uid="{32444197-A95D-4F65-B7C9-0D9C01556189}"/>
    <cellStyle name="Currency 3 4 2" xfId="906" xr:uid="{40A36B49-4F1E-4263-8111-DE3C42410AF9}"/>
    <cellStyle name="Currency 3 5" xfId="620" xr:uid="{4994CF99-A2E3-46B2-996F-A823A4FE217F}"/>
    <cellStyle name="Currency 4" xfId="257" xr:uid="{00000000-0005-0000-0000-0000BC000000}"/>
    <cellStyle name="Currency 4 2" xfId="258" xr:uid="{00000000-0005-0000-0000-0000BD000000}"/>
    <cellStyle name="Currency 4 2 2" xfId="259" xr:uid="{00000000-0005-0000-0000-0000BE000000}"/>
    <cellStyle name="Currency 4 2 2 2" xfId="483" xr:uid="{E4BA7603-B7CD-4671-8FCD-7A458DB8E152}"/>
    <cellStyle name="Currency 4 2 2 2 2" xfId="907" xr:uid="{10CDA1D4-387C-42CD-8E65-3BEC3925B062}"/>
    <cellStyle name="Currency 4 2 2 3" xfId="714" xr:uid="{2AE90ABB-379C-4350-92F2-23961B566F19}"/>
    <cellStyle name="Currency 4 2 3" xfId="260" xr:uid="{00000000-0005-0000-0000-0000BF000000}"/>
    <cellStyle name="Currency 4 2 3 2" xfId="484" xr:uid="{07640681-898D-468B-A60F-3D93F57A957A}"/>
    <cellStyle name="Currency 4 2 3 2 2" xfId="908" xr:uid="{B8AD45A6-8BD0-4822-88D6-4166B8A9C18C}"/>
    <cellStyle name="Currency 4 2 3 3" xfId="715" xr:uid="{7E7EC212-B437-48A9-A2A0-2B947E410F8B}"/>
    <cellStyle name="Currency 4 2 4" xfId="485" xr:uid="{BCD00756-61F0-46F1-97FD-E60192401295}"/>
    <cellStyle name="Currency 4 2 4 2" xfId="909" xr:uid="{F2C62B25-BD70-447C-AD09-CC33E84CA8AE}"/>
    <cellStyle name="Currency 4 2 5" xfId="713" xr:uid="{EC11CACD-01FD-498F-B986-84753E887CA2}"/>
    <cellStyle name="Currency 4 3" xfId="261" xr:uid="{00000000-0005-0000-0000-0000C0000000}"/>
    <cellStyle name="Currency 4 3 2" xfId="486" xr:uid="{D514E45E-B829-46EE-B94D-C299E2638270}"/>
    <cellStyle name="Currency 4 3 2 2" xfId="910" xr:uid="{72590582-F7C5-4DD8-8684-22656F51A958}"/>
    <cellStyle name="Currency 4 3 3" xfId="716" xr:uid="{00875C37-6ECA-48A5-A0A8-E6E99E8D8639}"/>
    <cellStyle name="Currency 4 4" xfId="262" xr:uid="{00000000-0005-0000-0000-0000C1000000}"/>
    <cellStyle name="Currency 4 4 2" xfId="487" xr:uid="{618AC8DB-D738-49E5-9F7D-D05390E80A43}"/>
    <cellStyle name="Currency 4 4 2 2" xfId="911" xr:uid="{092C9806-E96F-4761-9A0B-40CFFD4D940E}"/>
    <cellStyle name="Currency 4 4 3" xfId="717" xr:uid="{2CE98455-219B-4F10-BA7F-36BD7828994E}"/>
    <cellStyle name="Currency 4 5" xfId="488" xr:uid="{230ECF52-8AA8-4B5C-9113-D405FE902F4F}"/>
    <cellStyle name="Currency 4 5 2" xfId="912" xr:uid="{FDDC4683-AFEB-4236-AABE-ED008262E250}"/>
    <cellStyle name="Currency 4 6" xfId="712" xr:uid="{113574AD-09C4-40A0-8CF1-229E9BDE40A2}"/>
    <cellStyle name="Currency 5" xfId="263" xr:uid="{00000000-0005-0000-0000-0000C2000000}"/>
    <cellStyle name="Currency 5 2" xfId="264" xr:uid="{00000000-0005-0000-0000-0000C3000000}"/>
    <cellStyle name="Currency 5 2 2" xfId="489" xr:uid="{AEDDE850-62A6-40DC-B5DF-481E6CE77DCB}"/>
    <cellStyle name="Currency 5 2 2 2" xfId="913" xr:uid="{DFE8146F-A2BD-4AE2-8C9A-5348369E046E}"/>
    <cellStyle name="Currency 5 2 3" xfId="719" xr:uid="{B6D7AA48-7A56-4B57-BBE3-1BCEC6800A58}"/>
    <cellStyle name="Currency 5 3" xfId="265" xr:uid="{00000000-0005-0000-0000-0000C4000000}"/>
    <cellStyle name="Currency 5 3 2" xfId="490" xr:uid="{6162BB16-C1DF-4664-92B2-F62F9A873180}"/>
    <cellStyle name="Currency 5 3 2 2" xfId="914" xr:uid="{D5EED118-65E8-47AF-B240-3CDF4E69F72B}"/>
    <cellStyle name="Currency 5 3 3" xfId="720" xr:uid="{0D666BC4-828D-4873-9537-3710165EED86}"/>
    <cellStyle name="Currency 5 4" xfId="491" xr:uid="{AE4FB0C3-6565-4D23-942B-DAD8FBA21CB4}"/>
    <cellStyle name="Currency 5 4 2" xfId="915" xr:uid="{84FB0641-6D4F-4D6B-84CB-8DA0D8598283}"/>
    <cellStyle name="Currency 5 5" xfId="718" xr:uid="{1B1CF421-45FC-4B23-A030-B74A430C5FE1}"/>
    <cellStyle name="Currency 6" xfId="266" xr:uid="{00000000-0005-0000-0000-0000C5000000}"/>
    <cellStyle name="Currency 6 2" xfId="492" xr:uid="{E64F492B-40E0-444C-A74F-9A69EE76DB78}"/>
    <cellStyle name="Currency 6 2 2" xfId="916" xr:uid="{2E0404D2-C283-425D-B7A8-D0673D2C2185}"/>
    <cellStyle name="Currency 6 3" xfId="721" xr:uid="{8DFD766A-1FC3-42E9-B1DD-179B5F20DDCE}"/>
    <cellStyle name="Currency 7" xfId="267" xr:uid="{00000000-0005-0000-0000-0000C6000000}"/>
    <cellStyle name="Currency 7 2" xfId="493" xr:uid="{9541D7A3-DE94-4C85-BBF7-C204AC4170BC}"/>
    <cellStyle name="Currency 7 2 2" xfId="917" xr:uid="{0B6CCB44-5A10-478C-B516-F4A61FBDB74E}"/>
    <cellStyle name="Currency 7 3" xfId="722" xr:uid="{F7720D70-2559-47ED-9D1D-9BA258FB999B}"/>
    <cellStyle name="Currency 8" xfId="268" xr:uid="{00000000-0005-0000-0000-0000C7000000}"/>
    <cellStyle name="Explanatory Text" xfId="30" builtinId="53" customBuiltin="1"/>
    <cellStyle name="Explanatory Text 2" xfId="119" xr:uid="{00000000-0005-0000-0000-0000C9000000}"/>
    <cellStyle name="Explanatory Text 3" xfId="269" xr:uid="{00000000-0005-0000-0000-0000CA000000}"/>
    <cellStyle name="Good" xfId="31" builtinId="26" customBuiltin="1"/>
    <cellStyle name="Good 2" xfId="120" xr:uid="{00000000-0005-0000-0000-0000CC000000}"/>
    <cellStyle name="Good 3" xfId="270" xr:uid="{00000000-0005-0000-0000-0000CD000000}"/>
    <cellStyle name="Heading 1" xfId="32" builtinId="16" customBuiltin="1"/>
    <cellStyle name="Heading 1 2" xfId="121" xr:uid="{00000000-0005-0000-0000-0000CF000000}"/>
    <cellStyle name="Heading 1 3" xfId="271" xr:uid="{00000000-0005-0000-0000-0000D0000000}"/>
    <cellStyle name="Heading 2" xfId="33" builtinId="17" customBuiltin="1"/>
    <cellStyle name="Heading 2 2" xfId="122" xr:uid="{00000000-0005-0000-0000-0000D2000000}"/>
    <cellStyle name="Heading 2 3" xfId="272" xr:uid="{00000000-0005-0000-0000-0000D3000000}"/>
    <cellStyle name="Heading 3" xfId="34" builtinId="18" customBuiltin="1"/>
    <cellStyle name="Heading 3 2" xfId="123" xr:uid="{00000000-0005-0000-0000-0000D5000000}"/>
    <cellStyle name="Heading 3 3" xfId="273" xr:uid="{00000000-0005-0000-0000-0000D6000000}"/>
    <cellStyle name="Heading 4" xfId="35" builtinId="19" customBuiltin="1"/>
    <cellStyle name="Heading 4 2" xfId="124" xr:uid="{00000000-0005-0000-0000-0000D8000000}"/>
    <cellStyle name="Heading 4 3" xfId="274" xr:uid="{00000000-0005-0000-0000-0000D9000000}"/>
    <cellStyle name="Hyperlink" xfId="395" builtinId="8"/>
    <cellStyle name="Input" xfId="36" builtinId="20" customBuiltin="1"/>
    <cellStyle name="Input 2" xfId="125" xr:uid="{00000000-0005-0000-0000-0000DB000000}"/>
    <cellStyle name="Input 3" xfId="275" xr:uid="{00000000-0005-0000-0000-0000DC000000}"/>
    <cellStyle name="Linked Cell" xfId="37" builtinId="24" customBuiltin="1"/>
    <cellStyle name="Linked Cell 2" xfId="126" xr:uid="{00000000-0005-0000-0000-0000DE000000}"/>
    <cellStyle name="Linked Cell 3" xfId="276" xr:uid="{00000000-0005-0000-0000-0000DF000000}"/>
    <cellStyle name="Neutral" xfId="38" builtinId="28" customBuiltin="1"/>
    <cellStyle name="Neutral 2" xfId="127" xr:uid="{00000000-0005-0000-0000-0000E1000000}"/>
    <cellStyle name="Neutral 3" xfId="277" xr:uid="{00000000-0005-0000-0000-0000E2000000}"/>
    <cellStyle name="Normal" xfId="0" builtinId="0"/>
    <cellStyle name="Normal 10" xfId="74" xr:uid="{00000000-0005-0000-0000-0000E4000000}"/>
    <cellStyle name="Normal 10 2" xfId="139" xr:uid="{00000000-0005-0000-0000-0000E5000000}"/>
    <cellStyle name="Normal 10 2 2" xfId="278" xr:uid="{00000000-0005-0000-0000-0000E6000000}"/>
    <cellStyle name="Normal 10 2 2 2" xfId="494" xr:uid="{DE0716EC-43CA-4C3D-9E96-C53F03999C4E}"/>
    <cellStyle name="Normal 10 2 2 2 2" xfId="918" xr:uid="{54D73D9A-808D-4537-A77E-606B1BE1CA69}"/>
    <cellStyle name="Normal 10 2 2 3" xfId="723" xr:uid="{102B98F5-6F3F-4B5E-AE53-229DBF08EE7F}"/>
    <cellStyle name="Normal 10 2 3" xfId="279" xr:uid="{00000000-0005-0000-0000-0000E7000000}"/>
    <cellStyle name="Normal 10 2 4" xfId="495" xr:uid="{96B26205-699B-4C64-A0C9-6BE3E64A2340}"/>
    <cellStyle name="Normal 10 2 4 2" xfId="919" xr:uid="{2B0C2970-04E9-4792-9B73-88FC2E5C8F4D}"/>
    <cellStyle name="Normal 10 2 5" xfId="628" xr:uid="{EFD51D4A-AB15-40CC-B63D-E5D64F691E7C}"/>
    <cellStyle name="Normal 10 3" xfId="280" xr:uid="{00000000-0005-0000-0000-0000E8000000}"/>
    <cellStyle name="Normal 10 3 2" xfId="281" xr:uid="{00000000-0005-0000-0000-0000E9000000}"/>
    <cellStyle name="Normal 10 3 2 2" xfId="282" xr:uid="{00000000-0005-0000-0000-0000EA000000}"/>
    <cellStyle name="Normal 10 3 2 2 2" xfId="496" xr:uid="{642FAF0A-931B-4BF1-B89A-26E86572631B}"/>
    <cellStyle name="Normal 10 3 2 2 2 2" xfId="920" xr:uid="{14084BC0-276B-4121-B171-635E2DB5F0ED}"/>
    <cellStyle name="Normal 10 3 2 2 3" xfId="726" xr:uid="{A448D00E-4F44-4F5F-9937-7A4EB8788400}"/>
    <cellStyle name="Normal 10 3 2 3" xfId="283" xr:uid="{00000000-0005-0000-0000-0000EB000000}"/>
    <cellStyle name="Normal 10 3 2 3 2" xfId="497" xr:uid="{990985A2-24A1-4A20-ADE4-A34AEF4A934C}"/>
    <cellStyle name="Normal 10 3 2 3 2 2" xfId="921" xr:uid="{BB87DC84-6933-40A4-A0DA-C32CB48942EF}"/>
    <cellStyle name="Normal 10 3 2 3 3" xfId="727" xr:uid="{71A78CEE-4A63-4CD6-8ECA-CD9E58BC7F6D}"/>
    <cellStyle name="Normal 10 3 2 4" xfId="498" xr:uid="{690EA1DB-594A-4E1D-A958-BC954897C1E7}"/>
    <cellStyle name="Normal 10 3 2 4 2" xfId="922" xr:uid="{0A7DCDA2-C1C6-49E5-8880-E60BC96CF0C9}"/>
    <cellStyle name="Normal 10 3 2 5" xfId="725" xr:uid="{E1586CE2-514B-4A84-B033-262C8C90B2DA}"/>
    <cellStyle name="Normal 10 3 3" xfId="284" xr:uid="{00000000-0005-0000-0000-0000EC000000}"/>
    <cellStyle name="Normal 10 3 3 2" xfId="499" xr:uid="{536E1E69-A285-45E9-A58E-49824A368B1C}"/>
    <cellStyle name="Normal 10 3 3 2 2" xfId="923" xr:uid="{0C1F2FB9-CF69-4E18-91C1-5FB5C39E6E97}"/>
    <cellStyle name="Normal 10 3 3 3" xfId="728" xr:uid="{292FC13A-65BF-490C-A612-4414F9C3F951}"/>
    <cellStyle name="Normal 10 3 4" xfId="285" xr:uid="{00000000-0005-0000-0000-0000ED000000}"/>
    <cellStyle name="Normal 10 3 4 2" xfId="500" xr:uid="{2173FCF3-D795-4925-95B2-D991FF76CB52}"/>
    <cellStyle name="Normal 10 3 4 2 2" xfId="924" xr:uid="{3E845FD9-219F-4287-8CB6-BEB66C1B1FD5}"/>
    <cellStyle name="Normal 10 3 4 3" xfId="729" xr:uid="{33B312F6-04D3-4ED1-9F92-D652CFA34868}"/>
    <cellStyle name="Normal 10 3 5" xfId="501" xr:uid="{32D825EE-1D7B-4137-ACF7-C4A822B0EB2F}"/>
    <cellStyle name="Normal 10 3 5 2" xfId="925" xr:uid="{A7A9A548-86CB-443A-AE16-A900C22600CF}"/>
    <cellStyle name="Normal 10 3 6" xfId="724" xr:uid="{D2035BB5-126C-4EFC-8513-813F737480E8}"/>
    <cellStyle name="Normal 10 4" xfId="502" xr:uid="{BB25E1CC-4B52-460A-BBE5-9497AB863A5C}"/>
    <cellStyle name="Normal 10 4 2" xfId="926" xr:uid="{18F6D0C9-2AE1-4B9F-9ADC-9EB13B584C7B}"/>
    <cellStyle name="Normal 10 5" xfId="614" xr:uid="{677F42DD-4201-4432-B835-A05D42FB6271}"/>
    <cellStyle name="Normal 11" xfId="87" xr:uid="{00000000-0005-0000-0000-0000EE000000}"/>
    <cellStyle name="Normal 11 2" xfId="145" xr:uid="{00000000-0005-0000-0000-0000EF000000}"/>
    <cellStyle name="Normal 11 2 2" xfId="286" xr:uid="{00000000-0005-0000-0000-0000F0000000}"/>
    <cellStyle name="Normal 11 2 2 2" xfId="287" xr:uid="{00000000-0005-0000-0000-0000F1000000}"/>
    <cellStyle name="Normal 11 2 2 2 2" xfId="503" xr:uid="{353F2373-A788-4BD1-AF93-93C6920F5879}"/>
    <cellStyle name="Normal 11 2 2 2 2 2" xfId="927" xr:uid="{919721BD-8D6E-4B4E-9AAF-FAB55CB08D2D}"/>
    <cellStyle name="Normal 11 2 2 2 3" xfId="731" xr:uid="{2536DCD3-B274-458A-9952-641AD7F4975E}"/>
    <cellStyle name="Normal 11 2 2 3" xfId="288" xr:uid="{00000000-0005-0000-0000-0000F2000000}"/>
    <cellStyle name="Normal 11 2 2 3 2" xfId="504" xr:uid="{A56F0E12-1009-4D2D-B717-576D11B5D31A}"/>
    <cellStyle name="Normal 11 2 2 3 2 2" xfId="928" xr:uid="{D4295427-03B3-4656-A8B4-39CC67903385}"/>
    <cellStyle name="Normal 11 2 2 3 3" xfId="732" xr:uid="{AA90119A-D770-4BFB-B5F0-00B7788271DB}"/>
    <cellStyle name="Normal 11 2 2 4" xfId="505" xr:uid="{A6175ED9-BE37-4F6B-90A9-99D9F1CE2CB6}"/>
    <cellStyle name="Normal 11 2 2 4 2" xfId="929" xr:uid="{F8D08184-1896-4234-B494-BF2B04201F0D}"/>
    <cellStyle name="Normal 11 2 2 5" xfId="730" xr:uid="{305B6B26-7609-4F19-B5F3-BDFC47ADE329}"/>
    <cellStyle name="Normal 11 2 3" xfId="289" xr:uid="{00000000-0005-0000-0000-0000F3000000}"/>
    <cellStyle name="Normal 11 2 3 2" xfId="506" xr:uid="{192E6BB6-D752-4615-8620-E8BE64F58AE7}"/>
    <cellStyle name="Normal 11 2 3 2 2" xfId="930" xr:uid="{361CE2DF-7D5F-4B2E-8ACB-9CCADB94CEDA}"/>
    <cellStyle name="Normal 11 2 3 3" xfId="733" xr:uid="{3AEF5E26-4637-4773-8D3F-E8352CA86E3E}"/>
    <cellStyle name="Normal 11 2 4" xfId="290" xr:uid="{00000000-0005-0000-0000-0000F4000000}"/>
    <cellStyle name="Normal 11 2 4 2" xfId="507" xr:uid="{DBF32B26-6589-4787-81B7-70E34BF17606}"/>
    <cellStyle name="Normal 11 2 4 2 2" xfId="931" xr:uid="{FDFF7348-D8DC-4032-AD53-3B52850483DD}"/>
    <cellStyle name="Normal 11 2 4 3" xfId="734" xr:uid="{433061CE-B0C4-4154-B076-D194C456BF5D}"/>
    <cellStyle name="Normal 11 2 5" xfId="508" xr:uid="{E6C2A394-46FE-4455-A8B6-15F49592D89C}"/>
    <cellStyle name="Normal 11 2 5 2" xfId="932" xr:uid="{3E0EB5BF-4CFB-460A-84C8-DC57D86263A7}"/>
    <cellStyle name="Normal 11 2 6" xfId="633" xr:uid="{7F3628A6-AE41-48CB-9623-120A533974C2}"/>
    <cellStyle name="Normal 11 3" xfId="291" xr:uid="{00000000-0005-0000-0000-0000F5000000}"/>
    <cellStyle name="Normal 11 3 2" xfId="292" xr:uid="{00000000-0005-0000-0000-0000F6000000}"/>
    <cellStyle name="Normal 11 3 2 2" xfId="509" xr:uid="{541A6C82-F120-460B-BF0D-8F3A5A1230ED}"/>
    <cellStyle name="Normal 11 3 2 2 2" xfId="933" xr:uid="{C1F555EF-A0E2-48E3-9AE3-1CE20564AFF4}"/>
    <cellStyle name="Normal 11 3 2 3" xfId="736" xr:uid="{427FDD23-923A-4D93-8AF9-702F3B5DE78B}"/>
    <cellStyle name="Normal 11 3 3" xfId="293" xr:uid="{00000000-0005-0000-0000-0000F7000000}"/>
    <cellStyle name="Normal 11 3 3 2" xfId="510" xr:uid="{1D280778-C0D3-4E61-B3DF-ABD34ABF42B5}"/>
    <cellStyle name="Normal 11 3 3 2 2" xfId="934" xr:uid="{59C5D450-D089-41F8-B85B-353EC164871E}"/>
    <cellStyle name="Normal 11 3 3 3" xfId="737" xr:uid="{4CFF3D89-92BB-4457-B584-13C6B5DC5604}"/>
    <cellStyle name="Normal 11 3 4" xfId="511" xr:uid="{BBD16791-E04D-4726-99C5-4A67E9172E72}"/>
    <cellStyle name="Normal 11 3 4 2" xfId="935" xr:uid="{BA576CC3-5594-49E9-A7EE-0BECC5489203}"/>
    <cellStyle name="Normal 11 3 5" xfId="735" xr:uid="{A3FFCBA6-5A97-463C-BB05-BD45DB80E614}"/>
    <cellStyle name="Normal 11 4" xfId="294" xr:uid="{00000000-0005-0000-0000-0000F8000000}"/>
    <cellStyle name="Normal 11 4 2" xfId="512" xr:uid="{CDB46680-5EF2-471C-9FD0-9B77FD556E73}"/>
    <cellStyle name="Normal 11 4 2 2" xfId="936" xr:uid="{BEB01F2B-4F3B-4EE3-B4C0-8A9DA6554E5F}"/>
    <cellStyle name="Normal 11 4 3" xfId="738" xr:uid="{25CBB171-9DFC-454F-96D5-2D2BA278DF09}"/>
    <cellStyle name="Normal 11 5" xfId="295" xr:uid="{00000000-0005-0000-0000-0000F9000000}"/>
    <cellStyle name="Normal 11 5 2" xfId="513" xr:uid="{DCBD74EA-521D-4CD3-9E92-75946E940C3B}"/>
    <cellStyle name="Normal 11 5 2 2" xfId="937" xr:uid="{10ED5DE2-6C17-423D-949F-3846400F2BAD}"/>
    <cellStyle name="Normal 11 5 3" xfId="739" xr:uid="{FD4951D2-13E1-4AF9-A52E-6116D4274BC0}"/>
    <cellStyle name="Normal 11 6" xfId="514" xr:uid="{C737E232-5500-43A8-B71A-CA821D2E5AE3}"/>
    <cellStyle name="Normal 11 6 2" xfId="938" xr:uid="{E1BD5978-DCEE-4FAD-AF94-B326803E0F9B}"/>
    <cellStyle name="Normal 11 7" xfId="619" xr:uid="{25E52498-BD10-42A6-B25F-FAC01C967E60}"/>
    <cellStyle name="Normal 12" xfId="51" xr:uid="{00000000-0005-0000-0000-0000FA000000}"/>
    <cellStyle name="Normal 12 2" xfId="296" xr:uid="{00000000-0005-0000-0000-0000FB000000}"/>
    <cellStyle name="Normal 12 2 2" xfId="297" xr:uid="{00000000-0005-0000-0000-0000FC000000}"/>
    <cellStyle name="Normal 12 2 2 2" xfId="298" xr:uid="{00000000-0005-0000-0000-0000FD000000}"/>
    <cellStyle name="Normal 12 2 2 2 2" xfId="515" xr:uid="{B7F30CFA-907E-4DD6-A5A4-FF5890D462C2}"/>
    <cellStyle name="Normal 12 2 2 2 2 2" xfId="939" xr:uid="{F3E2B43B-93CA-46A6-9DF2-5672C8673FA6}"/>
    <cellStyle name="Normal 12 2 2 2 3" xfId="742" xr:uid="{9E0B66B2-5136-4E4D-8A01-9579775DA4A6}"/>
    <cellStyle name="Normal 12 2 2 3" xfId="299" xr:uid="{00000000-0005-0000-0000-0000FE000000}"/>
    <cellStyle name="Normal 12 2 2 3 2" xfId="516" xr:uid="{F0E1A6C4-6D42-46AF-BE65-89A2909C749D}"/>
    <cellStyle name="Normal 12 2 2 3 2 2" xfId="940" xr:uid="{74639E92-D0EF-459C-8D45-6A7EEC1F6F09}"/>
    <cellStyle name="Normal 12 2 2 3 3" xfId="743" xr:uid="{42F53A15-5B7E-4D61-947D-79D935E2F0F2}"/>
    <cellStyle name="Normal 12 2 2 4" xfId="517" xr:uid="{6034EADD-A58B-4350-AE16-80A69B13B9F1}"/>
    <cellStyle name="Normal 12 2 2 4 2" xfId="941" xr:uid="{CD6D15AF-AD9E-4765-B816-3E1D10E2F9B3}"/>
    <cellStyle name="Normal 12 2 2 5" xfId="741" xr:uid="{5A295264-4BBE-4901-A669-EA87F98FC257}"/>
    <cellStyle name="Normal 12 2 3" xfId="300" xr:uid="{00000000-0005-0000-0000-0000FF000000}"/>
    <cellStyle name="Normal 12 2 3 2" xfId="518" xr:uid="{0B9FB691-F254-43B2-86E8-A13960D8DD2D}"/>
    <cellStyle name="Normal 12 2 3 2 2" xfId="942" xr:uid="{FECCB897-DDB8-427B-9106-4861CC934D11}"/>
    <cellStyle name="Normal 12 2 3 3" xfId="744" xr:uid="{52E618E8-81A0-452D-AE3A-FF4BB713191B}"/>
    <cellStyle name="Normal 12 2 4" xfId="301" xr:uid="{00000000-0005-0000-0000-000000010000}"/>
    <cellStyle name="Normal 12 2 4 2" xfId="519" xr:uid="{6609B7A4-C76B-4A10-936E-7610AC775933}"/>
    <cellStyle name="Normal 12 2 4 2 2" xfId="943" xr:uid="{5BC8C13C-A67C-46A6-A0F5-823EA0B41841}"/>
    <cellStyle name="Normal 12 2 4 3" xfId="745" xr:uid="{A7CAD84F-A199-430B-A53F-37D528AFA283}"/>
    <cellStyle name="Normal 12 2 5" xfId="520" xr:uid="{F6FEEC63-8768-4761-AEFA-AF94DB54710A}"/>
    <cellStyle name="Normal 12 2 5 2" xfId="944" xr:uid="{EF72F261-5692-407E-A80A-EFFE89785D4C}"/>
    <cellStyle name="Normal 12 2 6" xfId="740" xr:uid="{10DF4FCC-F5D6-4CCB-A1AF-C4682C07502F}"/>
    <cellStyle name="Normal 12 3" xfId="302" xr:uid="{00000000-0005-0000-0000-000001010000}"/>
    <cellStyle name="Normal 12 3 2" xfId="303" xr:uid="{00000000-0005-0000-0000-000002010000}"/>
    <cellStyle name="Normal 12 3 2 2" xfId="521" xr:uid="{CDF4B62B-D48E-445C-8FFD-1BA15643D532}"/>
    <cellStyle name="Normal 12 3 2 2 2" xfId="945" xr:uid="{484CB8CE-7BAD-48B2-A141-9924075F202C}"/>
    <cellStyle name="Normal 12 3 2 3" xfId="747" xr:uid="{EFDB859E-4F82-4F58-AE97-17024B339EC1}"/>
    <cellStyle name="Normal 12 3 3" xfId="304" xr:uid="{00000000-0005-0000-0000-000003010000}"/>
    <cellStyle name="Normal 12 3 3 2" xfId="522" xr:uid="{105D89C9-8D11-447E-A5C0-72D4BD53F250}"/>
    <cellStyle name="Normal 12 3 3 2 2" xfId="946" xr:uid="{F8F7643B-D992-4ED2-8250-86FC6B4E258D}"/>
    <cellStyle name="Normal 12 3 3 3" xfId="748" xr:uid="{48F71364-BC00-48CD-99AD-23D80E1E3DF5}"/>
    <cellStyle name="Normal 12 3 4" xfId="523" xr:uid="{1DB4335C-4CDC-43E5-A45A-50A2BE4755A0}"/>
    <cellStyle name="Normal 12 3 4 2" xfId="947" xr:uid="{DB4C6E44-033A-455D-A821-1CE367F25212}"/>
    <cellStyle name="Normal 12 3 5" xfId="746" xr:uid="{74F58BE2-E220-4455-9C57-9125AC524974}"/>
    <cellStyle name="Normal 12 4" xfId="305" xr:uid="{00000000-0005-0000-0000-000004010000}"/>
    <cellStyle name="Normal 12 4 2" xfId="524" xr:uid="{3DC43FFB-DE98-469C-A43A-0E280ED42777}"/>
    <cellStyle name="Normal 12 4 2 2" xfId="948" xr:uid="{9E01C6B3-3A1A-427E-8AB7-4DF278B5E7D7}"/>
    <cellStyle name="Normal 12 4 3" xfId="749" xr:uid="{AAD9308C-2F03-49BC-9B98-4109D1BFB96F}"/>
    <cellStyle name="Normal 12 5" xfId="306" xr:uid="{00000000-0005-0000-0000-000005010000}"/>
    <cellStyle name="Normal 12 5 2" xfId="525" xr:uid="{2E3E915F-60B3-4673-8630-176417932151}"/>
    <cellStyle name="Normal 12 5 2 2" xfId="949" xr:uid="{C01F107D-B881-4B26-BCB7-04E79BD6B16E}"/>
    <cellStyle name="Normal 12 5 3" xfId="750" xr:uid="{0B3342C9-640E-41D3-A87E-9E72437588EC}"/>
    <cellStyle name="Normal 12 6" xfId="307" xr:uid="{00000000-0005-0000-0000-000006010000}"/>
    <cellStyle name="Normal 12 6 2" xfId="526" xr:uid="{F474F4AB-32E8-4935-B244-622E0EF068BD}"/>
    <cellStyle name="Normal 12 6 2 2" xfId="950" xr:uid="{BD5AF106-80A5-4F0F-9A34-1C8F84A779EA}"/>
    <cellStyle name="Normal 12 6 3" xfId="751" xr:uid="{0790E5C7-EE41-4177-9276-E0ED112EC19E}"/>
    <cellStyle name="Normal 13" xfId="91" xr:uid="{00000000-0005-0000-0000-000007010000}"/>
    <cellStyle name="Normal 13 2" xfId="308" xr:uid="{00000000-0005-0000-0000-000008010000}"/>
    <cellStyle name="Normal 13 2 2" xfId="309" xr:uid="{00000000-0005-0000-0000-000009010000}"/>
    <cellStyle name="Normal 13 2 2 2" xfId="527" xr:uid="{E4772C0E-FAFC-43F3-AE6E-7D84D06C95B0}"/>
    <cellStyle name="Normal 13 2 2 2 2" xfId="951" xr:uid="{75FBDB9F-8C6C-4BF9-8CAC-04A96EF16DDE}"/>
    <cellStyle name="Normal 13 2 2 3" xfId="753" xr:uid="{648F940D-C1DC-43DA-AB78-A763A0815597}"/>
    <cellStyle name="Normal 13 2 3" xfId="310" xr:uid="{00000000-0005-0000-0000-00000A010000}"/>
    <cellStyle name="Normal 13 2 3 2" xfId="528" xr:uid="{413DBD5D-84AC-400F-B75E-DE44FB2C0EA2}"/>
    <cellStyle name="Normal 13 2 3 2 2" xfId="952" xr:uid="{C5B1D341-595C-46FA-AA59-17824CB14C19}"/>
    <cellStyle name="Normal 13 2 3 3" xfId="754" xr:uid="{B4D6DB51-CD34-47C2-8BB3-990662D31AC7}"/>
    <cellStyle name="Normal 13 2 4" xfId="529" xr:uid="{3F4ED372-8C06-4E5E-84CB-835F22FD58D5}"/>
    <cellStyle name="Normal 13 2 4 2" xfId="953" xr:uid="{B839D0D2-4892-4EE7-B7B2-E7C19364D0E3}"/>
    <cellStyle name="Normal 13 2 5" xfId="752" xr:uid="{AA2C31CA-ECC1-4A0F-86F1-DDBEAF8BB700}"/>
    <cellStyle name="Normal 13 3" xfId="311" xr:uid="{00000000-0005-0000-0000-00000B010000}"/>
    <cellStyle name="Normal 13 3 2" xfId="530" xr:uid="{EDE75ADB-C141-4D5C-A65F-D89E254ACE5C}"/>
    <cellStyle name="Normal 13 3 2 2" xfId="954" xr:uid="{5ED6BC5C-6764-4D28-AE8B-10BD35500401}"/>
    <cellStyle name="Normal 13 3 3" xfId="755" xr:uid="{5D6740B1-6079-4BCB-867A-CF70299E5A10}"/>
    <cellStyle name="Normal 13 4" xfId="312" xr:uid="{00000000-0005-0000-0000-00000C010000}"/>
    <cellStyle name="Normal 13 4 2" xfId="531" xr:uid="{1CB86929-8949-41C9-A8FC-840CF581DF52}"/>
    <cellStyle name="Normal 13 4 2 2" xfId="955" xr:uid="{6EA32F12-C73E-463D-AEE7-5D0889DEAE48}"/>
    <cellStyle name="Normal 13 4 3" xfId="756" xr:uid="{A74F8309-9EAE-42C6-ACCD-DBC669F391FC}"/>
    <cellStyle name="Normal 13 5" xfId="313" xr:uid="{00000000-0005-0000-0000-00000D010000}"/>
    <cellStyle name="Normal 13 5 2" xfId="532" xr:uid="{E7596C5F-0667-48F6-B683-B9AE0C249972}"/>
    <cellStyle name="Normal 13 5 2 2" xfId="956" xr:uid="{20C0677A-C976-4772-B3AD-4C8DB4CE6CCE}"/>
    <cellStyle name="Normal 13 5 3" xfId="757" xr:uid="{73B53188-FFD0-44C5-B857-418595C50E44}"/>
    <cellStyle name="Normal 14" xfId="142" xr:uid="{00000000-0005-0000-0000-00000E010000}"/>
    <cellStyle name="Normal 14 2" xfId="314" xr:uid="{00000000-0005-0000-0000-00000F010000}"/>
    <cellStyle name="Normal 14 2 2" xfId="533" xr:uid="{C4DECBFE-3454-48DD-B825-F7B609F56123}"/>
    <cellStyle name="Normal 14 2 2 2" xfId="957" xr:uid="{3E5C136D-50A3-4045-AC4B-CF1B7F8AC31C}"/>
    <cellStyle name="Normal 14 2 3" xfId="758" xr:uid="{E4D9FA88-C148-49EE-A651-3ADD1A7188F3}"/>
    <cellStyle name="Normal 14 3" xfId="315" xr:uid="{00000000-0005-0000-0000-000010010000}"/>
    <cellStyle name="Normal 14 3 2" xfId="534" xr:uid="{B8B4A30E-CCBA-4E16-A957-A3C0EE880CFB}"/>
    <cellStyle name="Normal 14 3 2 2" xfId="958" xr:uid="{C0DAA695-298F-42C4-8657-6F40AC44BA52}"/>
    <cellStyle name="Normal 14 3 3" xfId="759" xr:uid="{D8D8CED3-6482-4269-B9B2-89BF967B8753}"/>
    <cellStyle name="Normal 14 4" xfId="316" xr:uid="{00000000-0005-0000-0000-000011010000}"/>
    <cellStyle name="Normal 14 4 2" xfId="535" xr:uid="{F88D40D7-40E0-40C0-8F5F-30D9A9417273}"/>
    <cellStyle name="Normal 14 4 2 2" xfId="959" xr:uid="{35D21EA6-D16F-4BC0-BB81-6117565221BF}"/>
    <cellStyle name="Normal 14 4 3" xfId="760" xr:uid="{7D1EAC46-CA1F-4632-9D1E-F028EA518BCB}"/>
    <cellStyle name="Normal 15" xfId="149" xr:uid="{00000000-0005-0000-0000-000012010000}"/>
    <cellStyle name="Normal 15 2" xfId="317" xr:uid="{00000000-0005-0000-0000-000013010000}"/>
    <cellStyle name="Normal 15 2 2" xfId="536" xr:uid="{998CF151-8626-45C9-9CD3-A53D8CC1B2A5}"/>
    <cellStyle name="Normal 15 2 2 2" xfId="960" xr:uid="{1918703B-941A-427A-83EF-89C02C306658}"/>
    <cellStyle name="Normal 15 2 3" xfId="761" xr:uid="{D93136CC-F2E6-44CA-9BF2-15012D309974}"/>
    <cellStyle name="Normal 16" xfId="318" xr:uid="{00000000-0005-0000-0000-000014010000}"/>
    <cellStyle name="Normal 16 2" xfId="537" xr:uid="{312C91EA-72DB-4C83-8BC5-6BBC12A3B2C8}"/>
    <cellStyle name="Normal 16 2 2" xfId="961" xr:uid="{88F47232-84E4-4BF6-8757-E4C9A114AC3C}"/>
    <cellStyle name="Normal 16 3" xfId="762" xr:uid="{1BF2E3FB-680C-462B-84A5-9277F0B27883}"/>
    <cellStyle name="Normal 17" xfId="319" xr:uid="{00000000-0005-0000-0000-000015010000}"/>
    <cellStyle name="Normal 17 2" xfId="538" xr:uid="{918EA40E-A2B0-4443-A456-2DCC53FFE94F}"/>
    <cellStyle name="Normal 17 2 2" xfId="962" xr:uid="{3F7EA5B1-C6BB-4C79-A845-6214A4FB41C3}"/>
    <cellStyle name="Normal 17 3" xfId="763" xr:uid="{B8D34BDB-B035-4D25-BB3A-B1C68852D0C6}"/>
    <cellStyle name="Normal 18" xfId="320" xr:uid="{00000000-0005-0000-0000-000016010000}"/>
    <cellStyle name="Normal 18 2" xfId="321" xr:uid="{00000000-0005-0000-0000-000017010000}"/>
    <cellStyle name="Normal 19" xfId="322" xr:uid="{00000000-0005-0000-0000-000018010000}"/>
    <cellStyle name="Normal 19 2" xfId="323" xr:uid="{00000000-0005-0000-0000-000019010000}"/>
    <cellStyle name="Normal 2" xfId="39" xr:uid="{00000000-0005-0000-0000-00001A010000}"/>
    <cellStyle name="Normal 2 2" xfId="66" xr:uid="{00000000-0005-0000-0000-00001B010000}"/>
    <cellStyle name="Normal 2 2 2" xfId="324" xr:uid="{00000000-0005-0000-0000-00001C010000}"/>
    <cellStyle name="Normal 2 2 3" xfId="325" xr:uid="{00000000-0005-0000-0000-00001D010000}"/>
    <cellStyle name="Normal 2 2 3 2" xfId="326" xr:uid="{00000000-0005-0000-0000-00001E010000}"/>
    <cellStyle name="Normal 2 2 3 2 2" xfId="327" xr:uid="{00000000-0005-0000-0000-00001F010000}"/>
    <cellStyle name="Normal 2 2 3 2 2 2" xfId="539" xr:uid="{FA8DA633-850F-4D93-B998-A12AD297532D}"/>
    <cellStyle name="Normal 2 2 3 2 2 2 2" xfId="963" xr:uid="{9491BA52-DEDA-4862-9FFF-B5DC60A24F05}"/>
    <cellStyle name="Normal 2 2 3 2 2 3" xfId="766" xr:uid="{C6F79DD6-A1C0-405C-BAA2-B753AB76A23A}"/>
    <cellStyle name="Normal 2 2 3 2 3" xfId="328" xr:uid="{00000000-0005-0000-0000-000020010000}"/>
    <cellStyle name="Normal 2 2 3 2 3 2" xfId="540" xr:uid="{EF7B8418-DF2A-4E54-A5D9-8F811C3FDC03}"/>
    <cellStyle name="Normal 2 2 3 2 3 2 2" xfId="964" xr:uid="{E9BE169C-A78F-4A2B-A0C6-1D726EFD08AC}"/>
    <cellStyle name="Normal 2 2 3 2 3 3" xfId="767" xr:uid="{1604B59B-1F03-4E01-96C3-AF19B1109C53}"/>
    <cellStyle name="Normal 2 2 3 2 4" xfId="541" xr:uid="{DA2F8A32-5CF7-420B-8547-FD9665279C86}"/>
    <cellStyle name="Normal 2 2 3 2 4 2" xfId="965" xr:uid="{31E878F2-0A89-4EA3-A9D3-89DC79E3D5D3}"/>
    <cellStyle name="Normal 2 2 3 2 5" xfId="765" xr:uid="{62B7420A-AD89-4025-9898-F529C6EA3696}"/>
    <cellStyle name="Normal 2 2 3 3" xfId="329" xr:uid="{00000000-0005-0000-0000-000021010000}"/>
    <cellStyle name="Normal 2 2 3 3 2" xfId="542" xr:uid="{96E16C89-D624-4E86-BED0-6606C0E16EBB}"/>
    <cellStyle name="Normal 2 2 3 3 2 2" xfId="966" xr:uid="{796DC53E-AA81-4881-AE96-BFBB031FFBD3}"/>
    <cellStyle name="Normal 2 2 3 3 3" xfId="768" xr:uid="{7D78CF34-9791-4DCA-9566-2D96C73182EC}"/>
    <cellStyle name="Normal 2 2 3 4" xfId="330" xr:uid="{00000000-0005-0000-0000-000022010000}"/>
    <cellStyle name="Normal 2 2 3 4 2" xfId="543" xr:uid="{3E82D27A-1416-4A1E-8E3D-C04BD5E98EE4}"/>
    <cellStyle name="Normal 2 2 3 4 2 2" xfId="967" xr:uid="{BF75B1FF-5D79-4104-BE7E-78472DE5D2BD}"/>
    <cellStyle name="Normal 2 2 3 4 3" xfId="769" xr:uid="{E51B5F40-0F07-45AF-A75E-04851808C627}"/>
    <cellStyle name="Normal 2 2 3 5" xfId="544" xr:uid="{AFB9FBD0-665A-4D6D-9294-ECB8747B1770}"/>
    <cellStyle name="Normal 2 2 3 5 2" xfId="968" xr:uid="{95FA47B4-F088-4D3A-8550-34C36B603C0C}"/>
    <cellStyle name="Normal 2 2 3 6" xfId="764" xr:uid="{71B52B2A-6DEC-4497-9005-56398F9BB155}"/>
    <cellStyle name="Normal 2 2 4" xfId="331" xr:uid="{00000000-0005-0000-0000-000023010000}"/>
    <cellStyle name="Normal 2 2 4 2" xfId="332" xr:uid="{00000000-0005-0000-0000-000024010000}"/>
    <cellStyle name="Normal 2 2 4 2 2" xfId="545" xr:uid="{9189D4CA-08AF-4CEB-BE9B-08050B1F3DCC}"/>
    <cellStyle name="Normal 2 2 4 2 2 2" xfId="969" xr:uid="{C37A4B59-58BA-4D0E-874E-A9A935E8B844}"/>
    <cellStyle name="Normal 2 2 4 2 3" xfId="771" xr:uid="{C5698DE4-96D0-48B9-9E5B-CCCEF9AE63F9}"/>
    <cellStyle name="Normal 2 2 4 3" xfId="333" xr:uid="{00000000-0005-0000-0000-000025010000}"/>
    <cellStyle name="Normal 2 2 4 3 2" xfId="546" xr:uid="{96B3D2C3-7F84-496B-A669-CA89A393575D}"/>
    <cellStyle name="Normal 2 2 4 3 2 2" xfId="970" xr:uid="{937A3D00-3D9D-411C-AE3E-A3D3C0C33888}"/>
    <cellStyle name="Normal 2 2 4 3 3" xfId="772" xr:uid="{F273F3E5-FA05-4BD9-91A8-444916BB6A5F}"/>
    <cellStyle name="Normal 2 2 4 4" xfId="547" xr:uid="{77EBE034-7615-42E8-9330-60DB258CEFED}"/>
    <cellStyle name="Normal 2 2 4 4 2" xfId="971" xr:uid="{9960F0F2-92FB-4712-8103-8CFC4DECCA98}"/>
    <cellStyle name="Normal 2 2 4 5" xfId="770" xr:uid="{36E03F24-B5CB-418F-92CB-226EB21E73AB}"/>
    <cellStyle name="Normal 2 2 5" xfId="334" xr:uid="{00000000-0005-0000-0000-000026010000}"/>
    <cellStyle name="Normal 2 2 5 2" xfId="548" xr:uid="{447A1736-0A2A-4A1E-9023-B49DA91CF481}"/>
    <cellStyle name="Normal 2 2 5 2 2" xfId="972" xr:uid="{EAF76DF9-5FA0-41A5-8E20-744CCF063264}"/>
    <cellStyle name="Normal 2 2 5 3" xfId="773" xr:uid="{30D964D6-25A5-42BA-8429-C091B616E2FE}"/>
    <cellStyle name="Normal 2 2 6" xfId="335" xr:uid="{00000000-0005-0000-0000-000027010000}"/>
    <cellStyle name="Normal 2 2 6 2" xfId="549" xr:uid="{9F8F7460-A1A0-48B2-AFB6-4C6E3073AE54}"/>
    <cellStyle name="Normal 2 2 6 2 2" xfId="973" xr:uid="{BA6A99E2-62BE-4634-8374-E29DC12EB3C1}"/>
    <cellStyle name="Normal 2 2 6 3" xfId="774" xr:uid="{D867752C-03DA-43F8-8ECD-F63E668F927C}"/>
    <cellStyle name="Normal 2 3" xfId="82" xr:uid="{00000000-0005-0000-0000-000028010000}"/>
    <cellStyle name="Normal 2 3 2" xfId="144" xr:uid="{00000000-0005-0000-0000-000029010000}"/>
    <cellStyle name="Normal 2 3 2 2" xfId="336" xr:uid="{00000000-0005-0000-0000-00002A010000}"/>
    <cellStyle name="Normal 2 3 2 2 2" xfId="337" xr:uid="{00000000-0005-0000-0000-00002B010000}"/>
    <cellStyle name="Normal 2 3 2 2 2 2" xfId="550" xr:uid="{DFF5434D-4015-46BC-B012-3A8709FA20B5}"/>
    <cellStyle name="Normal 2 3 2 2 2 2 2" xfId="974" xr:uid="{959CE7EB-1B3B-4FF0-BACF-2EBD16DD94B9}"/>
    <cellStyle name="Normal 2 3 2 2 2 3" xfId="776" xr:uid="{6AF69855-84E3-402F-A27F-25CA536FE869}"/>
    <cellStyle name="Normal 2 3 2 2 3" xfId="338" xr:uid="{00000000-0005-0000-0000-00002C010000}"/>
    <cellStyle name="Normal 2 3 2 2 3 2" xfId="551" xr:uid="{80937C03-AB29-48B7-A112-3704C33EA77C}"/>
    <cellStyle name="Normal 2 3 2 2 3 2 2" xfId="975" xr:uid="{9BDCC36F-2DD5-40F7-B2C2-3FAE34CE542C}"/>
    <cellStyle name="Normal 2 3 2 2 3 3" xfId="777" xr:uid="{14170AE0-F863-4878-9021-F2A8C3625B48}"/>
    <cellStyle name="Normal 2 3 2 2 4" xfId="552" xr:uid="{575A0E9E-FE6B-47BB-88DE-F170FBA1A3F5}"/>
    <cellStyle name="Normal 2 3 2 2 4 2" xfId="976" xr:uid="{38828EED-0368-4041-9644-FC8B10AA95C5}"/>
    <cellStyle name="Normal 2 3 2 2 5" xfId="775" xr:uid="{D3825BDD-6611-4532-BC72-542B980DDC6A}"/>
    <cellStyle name="Normal 2 3 2 3" xfId="339" xr:uid="{00000000-0005-0000-0000-00002D010000}"/>
    <cellStyle name="Normal 2 3 2 3 2" xfId="553" xr:uid="{C5A0B4D8-167E-41EF-BC5E-92C86A1110DF}"/>
    <cellStyle name="Normal 2 3 2 3 2 2" xfId="977" xr:uid="{DF2DD3B1-3F6F-4496-8127-39B50C1964A3}"/>
    <cellStyle name="Normal 2 3 2 3 3" xfId="778" xr:uid="{641AB529-EB6E-4FEF-9492-279B0A7DD5E2}"/>
    <cellStyle name="Normal 2 3 2 4" xfId="340" xr:uid="{00000000-0005-0000-0000-00002E010000}"/>
    <cellStyle name="Normal 2 3 2 4 2" xfId="554" xr:uid="{44D7E9E9-3839-4130-922B-1E492B9173C1}"/>
    <cellStyle name="Normal 2 3 2 4 2 2" xfId="978" xr:uid="{1B69249D-FA52-4F21-BCAC-A40B8AF26832}"/>
    <cellStyle name="Normal 2 3 2 4 3" xfId="779" xr:uid="{14736FB3-68B6-47A8-86A2-FFDB11E4B993}"/>
    <cellStyle name="Normal 2 3 2 5" xfId="555" xr:uid="{B6F95902-6AED-468B-9851-BEC10219269E}"/>
    <cellStyle name="Normal 2 3 2 5 2" xfId="979" xr:uid="{4B963F44-3483-4D4F-BC96-A2EC0DE1540A}"/>
    <cellStyle name="Normal 2 3 2 6" xfId="632" xr:uid="{D38FC600-F79A-4113-AFF7-006DE24E8374}"/>
    <cellStyle name="Normal 2 3 3" xfId="341" xr:uid="{00000000-0005-0000-0000-00002F010000}"/>
    <cellStyle name="Normal 2 3 3 2" xfId="342" xr:uid="{00000000-0005-0000-0000-000030010000}"/>
    <cellStyle name="Normal 2 3 3 2 2" xfId="556" xr:uid="{31D00CA7-6BA7-42E2-8643-53F320633E3F}"/>
    <cellStyle name="Normal 2 3 3 2 2 2" xfId="980" xr:uid="{7FF4C404-FDAE-4D8F-B8FD-2C67C4BA3DD3}"/>
    <cellStyle name="Normal 2 3 3 2 3" xfId="781" xr:uid="{F71B714B-3885-4472-B75C-1951A7B1F6EF}"/>
    <cellStyle name="Normal 2 3 3 3" xfId="343" xr:uid="{00000000-0005-0000-0000-000031010000}"/>
    <cellStyle name="Normal 2 3 3 3 2" xfId="557" xr:uid="{75D7255E-8B51-4EBE-B741-1240D6D3EE45}"/>
    <cellStyle name="Normal 2 3 3 3 2 2" xfId="981" xr:uid="{E5C6FB93-7FD0-4FD2-8B03-03023D0694AB}"/>
    <cellStyle name="Normal 2 3 3 3 3" xfId="782" xr:uid="{CCF441A7-1B50-43AD-917D-875CE84A9301}"/>
    <cellStyle name="Normal 2 3 3 4" xfId="558" xr:uid="{2E70BBA4-EDCE-4FFC-A373-D8B1CB31722D}"/>
    <cellStyle name="Normal 2 3 3 4 2" xfId="982" xr:uid="{7BD746C5-019F-4A07-96F4-CDC58EE765E2}"/>
    <cellStyle name="Normal 2 3 3 5" xfId="780" xr:uid="{59DC0161-D7EB-4AB7-9074-9788163E2581}"/>
    <cellStyle name="Normal 2 3 4" xfId="344" xr:uid="{00000000-0005-0000-0000-000032010000}"/>
    <cellStyle name="Normal 2 3 4 2" xfId="559" xr:uid="{DAD80F6C-006F-4AA0-83D2-1C91A7EB751C}"/>
    <cellStyle name="Normal 2 3 4 2 2" xfId="983" xr:uid="{001295C4-9BDE-4D66-A1AD-61E10854F449}"/>
    <cellStyle name="Normal 2 3 4 3" xfId="783" xr:uid="{F8137A38-3D47-434C-9E58-800B2792F6A2}"/>
    <cellStyle name="Normal 2 3 5" xfId="345" xr:uid="{00000000-0005-0000-0000-000033010000}"/>
    <cellStyle name="Normal 2 3 5 2" xfId="560" xr:uid="{6ED360DD-7FB5-4A27-A517-B1C89856AE33}"/>
    <cellStyle name="Normal 2 3 5 2 2" xfId="984" xr:uid="{BFFDEE76-0184-4D09-BE11-74E5F1ED6437}"/>
    <cellStyle name="Normal 2 3 5 3" xfId="784" xr:uid="{8641EC2E-7833-4C2D-88C3-2CF35A2A4277}"/>
    <cellStyle name="Normal 2 3 6" xfId="561" xr:uid="{9EE9CF55-18C0-4EB2-A8C5-C5B578F89430}"/>
    <cellStyle name="Normal 2 3 6 2" xfId="985" xr:uid="{949DA724-46F2-4C6F-AC2D-888EB86A6716}"/>
    <cellStyle name="Normal 2 3 7" xfId="618" xr:uid="{0C4B9C56-597C-4063-9305-9A473D41A4D0}"/>
    <cellStyle name="Normal 2 4" xfId="90" xr:uid="{00000000-0005-0000-0000-000034010000}"/>
    <cellStyle name="Normal 2 4 2" xfId="148" xr:uid="{00000000-0005-0000-0000-000035010000}"/>
    <cellStyle name="Normal 2 4 2 2" xfId="346" xr:uid="{00000000-0005-0000-0000-000036010000}"/>
    <cellStyle name="Normal 2 4 2 2 2" xfId="347" xr:uid="{00000000-0005-0000-0000-000037010000}"/>
    <cellStyle name="Normal 2 4 2 2 2 2" xfId="562" xr:uid="{0E09F6A0-1FC4-41C8-BBD1-644035A0C77F}"/>
    <cellStyle name="Normal 2 4 2 2 2 2 2" xfId="986" xr:uid="{07EEE5EF-2FF1-413E-AC76-6F94B6C19422}"/>
    <cellStyle name="Normal 2 4 2 2 2 3" xfId="786" xr:uid="{4372B1FC-7A99-4104-A58B-56DBCEC4D5AF}"/>
    <cellStyle name="Normal 2 4 2 2 3" xfId="348" xr:uid="{00000000-0005-0000-0000-000038010000}"/>
    <cellStyle name="Normal 2 4 2 2 3 2" xfId="563" xr:uid="{52DC5D7D-FC7B-4EC7-9CF7-E403A575C596}"/>
    <cellStyle name="Normal 2 4 2 2 3 2 2" xfId="987" xr:uid="{7E2652D5-9BCA-4A0A-B9B9-A493F191B19E}"/>
    <cellStyle name="Normal 2 4 2 2 3 3" xfId="787" xr:uid="{A69BDA71-997F-46B7-AD9C-29218781B8C0}"/>
    <cellStyle name="Normal 2 4 2 2 4" xfId="564" xr:uid="{2E0F520B-BA78-4103-BF92-AFE9B79C67AE}"/>
    <cellStyle name="Normal 2 4 2 2 4 2" xfId="988" xr:uid="{E29FFD6B-6BC2-479F-9AFD-3EB9ADC6696C}"/>
    <cellStyle name="Normal 2 4 2 2 5" xfId="785" xr:uid="{E77933EA-33AA-4F4A-8A32-CB7B89A19FA3}"/>
    <cellStyle name="Normal 2 4 2 3" xfId="349" xr:uid="{00000000-0005-0000-0000-000039010000}"/>
    <cellStyle name="Normal 2 4 2 3 2" xfId="565" xr:uid="{C3B7C031-A885-46AD-9B5D-CECBE6F10064}"/>
    <cellStyle name="Normal 2 4 2 3 2 2" xfId="989" xr:uid="{A497BD48-6A33-42A2-8ADD-D82A8655615B}"/>
    <cellStyle name="Normal 2 4 2 3 3" xfId="788" xr:uid="{94A8FAF8-EF3F-41F1-B2AB-DF5E12B0CFB8}"/>
    <cellStyle name="Normal 2 4 2 4" xfId="350" xr:uid="{00000000-0005-0000-0000-00003A010000}"/>
    <cellStyle name="Normal 2 4 2 4 2" xfId="566" xr:uid="{1A8A2369-988D-4479-918B-C7AA1978A9BB}"/>
    <cellStyle name="Normal 2 4 2 4 2 2" xfId="990" xr:uid="{88466E0B-F078-40A9-AD1E-42934B290612}"/>
    <cellStyle name="Normal 2 4 2 4 3" xfId="789" xr:uid="{67936778-EA0F-4272-A1C5-DAED0BDFFFB6}"/>
    <cellStyle name="Normal 2 4 2 5" xfId="567" xr:uid="{DE8DA4E2-9F72-4E23-A4C7-30E626C67ADC}"/>
    <cellStyle name="Normal 2 4 2 5 2" xfId="991" xr:uid="{BFB23B95-A1EC-458D-86B0-BE8BEB050FAA}"/>
    <cellStyle name="Normal 2 4 2 6" xfId="636" xr:uid="{030505FF-D8DF-4A15-828A-DF289B87D531}"/>
    <cellStyle name="Normal 2 4 3" xfId="351" xr:uid="{00000000-0005-0000-0000-00003B010000}"/>
    <cellStyle name="Normal 2 4 3 2" xfId="352" xr:uid="{00000000-0005-0000-0000-00003C010000}"/>
    <cellStyle name="Normal 2 4 3 2 2" xfId="568" xr:uid="{7862275C-69DE-4BF1-B551-C73535F3FC71}"/>
    <cellStyle name="Normal 2 4 3 2 2 2" xfId="992" xr:uid="{CFBCEE05-99D2-4C5B-A0AD-AB3540D1B824}"/>
    <cellStyle name="Normal 2 4 3 2 3" xfId="791" xr:uid="{4E1B3F9E-403D-455A-9249-25F7782B6558}"/>
    <cellStyle name="Normal 2 4 3 3" xfId="353" xr:uid="{00000000-0005-0000-0000-00003D010000}"/>
    <cellStyle name="Normal 2 4 3 3 2" xfId="569" xr:uid="{A5A9E4E3-3E0F-4937-9146-AB729B5826F2}"/>
    <cellStyle name="Normal 2 4 3 3 2 2" xfId="993" xr:uid="{4ACA1AF5-CDD6-4449-853F-5F587106BE44}"/>
    <cellStyle name="Normal 2 4 3 3 3" xfId="792" xr:uid="{0075E833-5844-44AC-A6C5-EF7B79E0A034}"/>
    <cellStyle name="Normal 2 4 3 4" xfId="570" xr:uid="{A36FE6EC-3FEB-46DB-8A12-F97A5DC3D26B}"/>
    <cellStyle name="Normal 2 4 3 4 2" xfId="994" xr:uid="{79FF21AB-A6BB-4678-9F41-287EBC2D678D}"/>
    <cellStyle name="Normal 2 4 3 5" xfId="790" xr:uid="{F7178201-E8EC-4C8C-81B1-97AF997058E8}"/>
    <cellStyle name="Normal 2 4 4" xfId="354" xr:uid="{00000000-0005-0000-0000-00003E010000}"/>
    <cellStyle name="Normal 2 4 4 2" xfId="571" xr:uid="{A4B000FE-7CFF-4EE1-9D8A-F30221A60EC1}"/>
    <cellStyle name="Normal 2 4 4 2 2" xfId="995" xr:uid="{A3903FBC-F06F-4A8A-A1D2-18CE94284D71}"/>
    <cellStyle name="Normal 2 4 4 3" xfId="793" xr:uid="{34C1972A-1848-4E33-A8BC-DAB89FB7EA79}"/>
    <cellStyle name="Normal 2 4 5" xfId="355" xr:uid="{00000000-0005-0000-0000-00003F010000}"/>
    <cellStyle name="Normal 2 4 5 2" xfId="572" xr:uid="{F61EAE96-AA6F-4F0D-8BEF-3E9A4ED590A3}"/>
    <cellStyle name="Normal 2 4 5 2 2" xfId="996" xr:uid="{B30CD6BA-A1E3-437D-8B60-C4D37004F6D9}"/>
    <cellStyle name="Normal 2 4 5 3" xfId="794" xr:uid="{911FD944-C8BC-47B9-8C29-2A8135B390B9}"/>
    <cellStyle name="Normal 2 4 6" xfId="573" xr:uid="{2994ECD3-5205-4150-8F1E-5754E201DE71}"/>
    <cellStyle name="Normal 2 4 6 2" xfId="997" xr:uid="{A3CAC1A2-ED16-4B33-923B-016C8B76A834}"/>
    <cellStyle name="Normal 2 4 7" xfId="622" xr:uid="{CAE15BF2-733F-4194-AC7D-BFA12F7B805E}"/>
    <cellStyle name="Normal 2 5" xfId="56" xr:uid="{00000000-0005-0000-0000-000040010000}"/>
    <cellStyle name="Normal 2 5 2" xfId="356" xr:uid="{00000000-0005-0000-0000-000041010000}"/>
    <cellStyle name="Normal 2 5 2 2" xfId="574" xr:uid="{C244C51B-82F7-4969-A704-CBB4F4A23B3F}"/>
    <cellStyle name="Normal 2 5 2 2 2" xfId="998" xr:uid="{8A2F686E-3084-4687-A9E6-DACC2088812E}"/>
    <cellStyle name="Normal 2 5 2 3" xfId="795" xr:uid="{7DB8F211-8D42-473F-88D2-AAED99AAE1C9}"/>
    <cellStyle name="Normal 2 5 3" xfId="357" xr:uid="{00000000-0005-0000-0000-000042010000}"/>
    <cellStyle name="Normal 2 5 4" xfId="575" xr:uid="{F366D3E5-A289-49A3-8914-42B9E6497D39}"/>
    <cellStyle name="Normal 2 5 4 2" xfId="999" xr:uid="{8CBD972A-367E-4F7D-B7F1-FA295770281C}"/>
    <cellStyle name="Normal 2 5 5" xfId="612" xr:uid="{D97A2FBC-41C0-41F9-9DA9-9C937DD763C6}"/>
    <cellStyle name="Normal 2 6" xfId="358" xr:uid="{00000000-0005-0000-0000-000043010000}"/>
    <cellStyle name="Normal 20" xfId="359" xr:uid="{00000000-0005-0000-0000-000044010000}"/>
    <cellStyle name="Normal 20 2" xfId="360" xr:uid="{00000000-0005-0000-0000-000045010000}"/>
    <cellStyle name="Normal 21" xfId="361" xr:uid="{00000000-0005-0000-0000-000046010000}"/>
    <cellStyle name="Normal 21 2" xfId="362" xr:uid="{00000000-0005-0000-0000-000047010000}"/>
    <cellStyle name="Normal 22" xfId="363" xr:uid="{00000000-0005-0000-0000-000048010000}"/>
    <cellStyle name="Normal 23" xfId="394" xr:uid="{91D12E06-A6A3-4409-A359-0B8A66B9DADC}"/>
    <cellStyle name="Normal 23 2" xfId="576" xr:uid="{782AEC49-A6E5-43F8-8BC0-CD6E473418C4}"/>
    <cellStyle name="Normal 23 2 2" xfId="1000" xr:uid="{E5A194B0-D240-436E-B290-741C79841ACD}"/>
    <cellStyle name="Normal 23 3" xfId="819" xr:uid="{8A07A9BB-9A1B-40F9-9E84-C45A95B1B6C4}"/>
    <cellStyle name="Normal 3" xfId="40" xr:uid="{00000000-0005-0000-0000-000049010000}"/>
    <cellStyle name="Normal 3 2" xfId="50" xr:uid="{00000000-0005-0000-0000-00004A010000}"/>
    <cellStyle name="Normal 3 2 2" xfId="67" xr:uid="{00000000-0005-0000-0000-00004B010000}"/>
    <cellStyle name="Normal 3 2 3" xfId="135" xr:uid="{00000000-0005-0000-0000-00004C010000}"/>
    <cellStyle name="Normal 3 2 3 2" xfId="364" xr:uid="{00000000-0005-0000-0000-00004D010000}"/>
    <cellStyle name="Normal 3 2 3 2 2" xfId="577" xr:uid="{81BD52E3-C847-4391-A686-E7A4B1DBDC63}"/>
    <cellStyle name="Normal 3 2 3 2 2 2" xfId="1001" xr:uid="{D3938161-8DB6-4730-B4BE-94817D935CBE}"/>
    <cellStyle name="Normal 3 2 3 2 3" xfId="796" xr:uid="{B9D26F2C-69BB-4DA0-AC1E-56396C6F3334}"/>
    <cellStyle name="Normal 3 2 3 3" xfId="578" xr:uid="{F5A410FA-D527-40AA-8260-656BCBFF8771}"/>
    <cellStyle name="Normal 3 2 3 3 2" xfId="1002" xr:uid="{ABA7C4BA-1F48-45D9-82DF-207AB491F965}"/>
    <cellStyle name="Normal 3 2 3 4" xfId="625" xr:uid="{14ABA79F-FD00-4EC9-AEAA-59EA35C09CFB}"/>
    <cellStyle name="Normal 3 2 4" xfId="365" xr:uid="{00000000-0005-0000-0000-00004E010000}"/>
    <cellStyle name="Normal 3 2 4 2" xfId="579" xr:uid="{7D3F3F31-324B-473C-9952-DD74241D964C}"/>
    <cellStyle name="Normal 3 2 4 2 2" xfId="1003" xr:uid="{35354D25-6F7C-4F10-9844-290282B42B06}"/>
    <cellStyle name="Normal 3 2 4 3" xfId="797" xr:uid="{9CBD25A3-3C1E-4456-8895-CCBA937E01A2}"/>
    <cellStyle name="Normal 3 2 5" xfId="580" xr:uid="{24D14DFC-CE9F-455D-B196-DA9FD3435F73}"/>
    <cellStyle name="Normal 3 2 5 2" xfId="1004" xr:uid="{84E2904D-BD8D-4933-A955-5DE1AE4A85E5}"/>
    <cellStyle name="Normal 3 2 6" xfId="610" xr:uid="{76BD738F-E61F-4ED2-A66A-4DDD33B3F5BB}"/>
    <cellStyle name="Normal 3 3" xfId="49" xr:uid="{00000000-0005-0000-0000-00004F010000}"/>
    <cellStyle name="Normal 3 3 2" xfId="77" xr:uid="{00000000-0005-0000-0000-000050010000}"/>
    <cellStyle name="Normal 3 3 3" xfId="134" xr:uid="{00000000-0005-0000-0000-000051010000}"/>
    <cellStyle name="Normal 3 3 3 2" xfId="366" xr:uid="{00000000-0005-0000-0000-000052010000}"/>
    <cellStyle name="Normal 3 3 3 2 2" xfId="581" xr:uid="{70C7596A-A8E4-4048-BAF9-22014B0ED8A6}"/>
    <cellStyle name="Normal 3 3 3 2 2 2" xfId="1005" xr:uid="{BF58CA5D-2B51-4115-A54C-7BB84725EB7F}"/>
    <cellStyle name="Normal 3 3 3 2 3" xfId="798" xr:uid="{34EBCDD7-4342-4205-A364-1467B28B20C8}"/>
    <cellStyle name="Normal 3 3 3 3" xfId="582" xr:uid="{53EF3923-F5FA-4C1E-BD1E-05F7B77A4BB6}"/>
    <cellStyle name="Normal 3 3 3 3 2" xfId="1006" xr:uid="{4C6D303F-E2D8-49BD-A7D2-BA87BBB9D2E3}"/>
    <cellStyle name="Normal 3 3 3 4" xfId="624" xr:uid="{9A831E8C-7159-4AA2-8A0C-9376FAC4BC10}"/>
    <cellStyle name="Normal 3 3 4" xfId="367" xr:uid="{00000000-0005-0000-0000-000053010000}"/>
    <cellStyle name="Normal 3 3 4 2" xfId="583" xr:uid="{EBEB7504-1490-428D-834F-BC0241275E68}"/>
    <cellStyle name="Normal 3 3 4 2 2" xfId="1007" xr:uid="{EB124B9E-2B82-4A87-8A4E-4A723F77B569}"/>
    <cellStyle name="Normal 3 3 4 3" xfId="799" xr:uid="{F6FC3F58-0552-44F1-ACC5-9567483AB7A4}"/>
    <cellStyle name="Normal 3 3 5" xfId="584" xr:uid="{5692F4CB-AE2D-434A-B9A5-64FAD2F87CD8}"/>
    <cellStyle name="Normal 3 3 5 2" xfId="1008" xr:uid="{723ABFA4-1DDB-484B-9F8A-88C4B4D71ECA}"/>
    <cellStyle name="Normal 3 3 6" xfId="609" xr:uid="{25F10224-F701-4741-A8EB-D97A182C3616}"/>
    <cellStyle name="Normal 3 4" xfId="79" xr:uid="{00000000-0005-0000-0000-000054010000}"/>
    <cellStyle name="Normal 3 5" xfId="57" xr:uid="{00000000-0005-0000-0000-000055010000}"/>
    <cellStyle name="Normal 3 6" xfId="128" xr:uid="{00000000-0005-0000-0000-000056010000}"/>
    <cellStyle name="Normal 3 6 2" xfId="368" xr:uid="{00000000-0005-0000-0000-000057010000}"/>
    <cellStyle name="Normal 3 6 2 2" xfId="585" xr:uid="{DB6F4801-8CC2-4A3E-BF80-045552FF599A}"/>
    <cellStyle name="Normal 3 6 2 2 2" xfId="1009" xr:uid="{4E3D3132-E0E4-4B3F-BB58-8C19617F4CF5}"/>
    <cellStyle name="Normal 3 6 2 3" xfId="800" xr:uid="{61B9CBC1-B7DA-479A-9802-E6C7B9C0BFA4}"/>
    <cellStyle name="Normal 3 6 3" xfId="586" xr:uid="{831DC940-C341-4104-8D89-30770DD84AC9}"/>
    <cellStyle name="Normal 3 6 3 2" xfId="1010" xr:uid="{10118838-CF02-4496-B5F7-DFC68CEC55E6}"/>
    <cellStyle name="Normal 3 6 4" xfId="623" xr:uid="{AE2E66E1-7643-4D02-A7F2-925BAAFC4004}"/>
    <cellStyle name="Normal 3 7" xfId="369" xr:uid="{00000000-0005-0000-0000-000058010000}"/>
    <cellStyle name="Normal 3 7 2" xfId="587" xr:uid="{F5B0D28B-197C-4011-B40A-B0CCAC763933}"/>
    <cellStyle name="Normal 3 7 2 2" xfId="1011" xr:uid="{C9B387C2-7797-4D58-8D6B-A2B08F35DADF}"/>
    <cellStyle name="Normal 3 7 3" xfId="801" xr:uid="{F8DFE7EF-DE2C-46EA-9BD6-5C90D915DFF6}"/>
    <cellStyle name="Normal 3 8" xfId="588" xr:uid="{CDFF781D-32B7-42F4-9C59-D68BD9639B5F}"/>
    <cellStyle name="Normal 3 8 2" xfId="1012" xr:uid="{0D2392DD-259A-48E4-854F-A31C114EDCCC}"/>
    <cellStyle name="Normal 3 9" xfId="608" xr:uid="{CA8AC16B-5975-45C5-95C3-319DB5D304CF}"/>
    <cellStyle name="Normal 4" xfId="59" xr:uid="{00000000-0005-0000-0000-000059010000}"/>
    <cellStyle name="Normal 4 2" xfId="68" xr:uid="{00000000-0005-0000-0000-00005A010000}"/>
    <cellStyle name="Normal 4 3" xfId="137" xr:uid="{00000000-0005-0000-0000-00005B010000}"/>
    <cellStyle name="Normal 4 3 2" xfId="370" xr:uid="{00000000-0005-0000-0000-00005C010000}"/>
    <cellStyle name="Normal 4 3 2 2" xfId="371" xr:uid="{00000000-0005-0000-0000-00005D010000}"/>
    <cellStyle name="Normal 4 3 2 2 2" xfId="589" xr:uid="{E5D72B64-69FB-4389-9E3F-FFCB02910790}"/>
    <cellStyle name="Normal 4 3 2 2 2 2" xfId="1013" xr:uid="{8CD13F96-5EB3-4F6F-8A52-6030E3813F82}"/>
    <cellStyle name="Normal 4 3 2 2 3" xfId="803" xr:uid="{14072224-8109-4750-B39E-875C546E7A7E}"/>
    <cellStyle name="Normal 4 3 2 3" xfId="372" xr:uid="{00000000-0005-0000-0000-00005E010000}"/>
    <cellStyle name="Normal 4 3 2 3 2" xfId="590" xr:uid="{541FBF16-8ED2-43EA-BCC1-BECC1B010294}"/>
    <cellStyle name="Normal 4 3 2 3 2 2" xfId="1014" xr:uid="{DF43C4EB-24E9-438C-8BA1-C892BA9CBD35}"/>
    <cellStyle name="Normal 4 3 2 3 3" xfId="804" xr:uid="{9EEF9586-6A95-409A-BB95-6AC9DB6FE832}"/>
    <cellStyle name="Normal 4 3 2 4" xfId="591" xr:uid="{C6B2723F-445E-4128-B99E-80C32A5CCD6B}"/>
    <cellStyle name="Normal 4 3 2 4 2" xfId="1015" xr:uid="{3464EDB0-4C4C-403A-952E-D86EA5028933}"/>
    <cellStyle name="Normal 4 3 2 5" xfId="802" xr:uid="{B2FDB3EF-B300-421A-BD99-BF09D454DAE1}"/>
    <cellStyle name="Normal 4 3 3" xfId="373" xr:uid="{00000000-0005-0000-0000-00005F010000}"/>
    <cellStyle name="Normal 4 3 3 2" xfId="592" xr:uid="{2F132C76-7A37-44F2-8A96-BA9116CFDBEC}"/>
    <cellStyle name="Normal 4 3 3 2 2" xfId="1016" xr:uid="{D54E6B06-66A7-47AD-895D-9E34D94F2583}"/>
    <cellStyle name="Normal 4 3 3 3" xfId="805" xr:uid="{BB6936F0-59B3-4265-B4F1-DFB870A9A24E}"/>
    <cellStyle name="Normal 4 3 4" xfId="374" xr:uid="{00000000-0005-0000-0000-000060010000}"/>
    <cellStyle name="Normal 4 3 4 2" xfId="593" xr:uid="{ECE8905A-D863-42A4-B550-01A0F9D98781}"/>
    <cellStyle name="Normal 4 3 4 2 2" xfId="1017" xr:uid="{992EB939-62A4-4A16-8DCE-690487B4B5EC}"/>
    <cellStyle name="Normal 4 3 4 3" xfId="806" xr:uid="{39AB9759-AC9C-4104-BCC6-AC02B9896428}"/>
    <cellStyle name="Normal 4 3 5" xfId="594" xr:uid="{9184F947-5ACC-4556-B69D-7F4610D213C0}"/>
    <cellStyle name="Normal 4 3 5 2" xfId="1018" xr:uid="{4B0319FE-E512-44FE-8F3F-FF6879F6B037}"/>
    <cellStyle name="Normal 4 3 6" xfId="627" xr:uid="{E3921642-234C-4367-A080-17EFD3A005D4}"/>
    <cellStyle name="Normal 4 4" xfId="375" xr:uid="{00000000-0005-0000-0000-000061010000}"/>
    <cellStyle name="Normal 4 4 2" xfId="595" xr:uid="{CA64A147-586C-4469-A8EE-F3ABFD34492F}"/>
    <cellStyle name="Normal 4 4 2 2" xfId="1019" xr:uid="{5A1D9A38-8161-44A6-B088-2119B4E20139}"/>
    <cellStyle name="Normal 4 4 3" xfId="807" xr:uid="{C8722F7C-B09C-481E-80C5-10A73CD945AE}"/>
    <cellStyle name="Normal 4 5" xfId="596" xr:uid="{EB214CB6-42F0-487B-AA77-C81297DC7248}"/>
    <cellStyle name="Normal 4 5 2" xfId="1020" xr:uid="{684E29B5-2B56-4540-B986-730A3D01D37F}"/>
    <cellStyle name="Normal 4 6" xfId="613" xr:uid="{9956998B-11F8-4B8A-9F21-88C83682463B}"/>
    <cellStyle name="Normal 5" xfId="69" xr:uid="{00000000-0005-0000-0000-000062010000}"/>
    <cellStyle name="Normal 5 2" xfId="81" xr:uid="{00000000-0005-0000-0000-000063010000}"/>
    <cellStyle name="Normal 5 3" xfId="376" xr:uid="{00000000-0005-0000-0000-000064010000}"/>
    <cellStyle name="Normal 6" xfId="70" xr:uid="{00000000-0005-0000-0000-000065010000}"/>
    <cellStyle name="Normal 7" xfId="71" xr:uid="{00000000-0005-0000-0000-000066010000}"/>
    <cellStyle name="Normal 8" xfId="72" xr:uid="{00000000-0005-0000-0000-000067010000}"/>
    <cellStyle name="Normal 9" xfId="73" xr:uid="{00000000-0005-0000-0000-000068010000}"/>
    <cellStyle name="Normal_Const Mon Report Feb 08" xfId="41" xr:uid="{00000000-0005-0000-0000-000069010000}"/>
    <cellStyle name="Note" xfId="42" builtinId="10" customBuiltin="1"/>
    <cellStyle name="Note 2" xfId="129" xr:uid="{00000000-0005-0000-0000-00006B010000}"/>
    <cellStyle name="Note 3" xfId="377" xr:uid="{00000000-0005-0000-0000-00006C010000}"/>
    <cellStyle name="Output" xfId="43" builtinId="21" customBuiltin="1"/>
    <cellStyle name="Output 2" xfId="130" xr:uid="{00000000-0005-0000-0000-00006E010000}"/>
    <cellStyle name="Output 3" xfId="378" xr:uid="{00000000-0005-0000-0000-00006F010000}"/>
    <cellStyle name="Percent" xfId="44" builtinId="5"/>
    <cellStyle name="Percent 2" xfId="58" xr:uid="{00000000-0005-0000-0000-000071010000}"/>
    <cellStyle name="Percent 2 2" xfId="86" xr:uid="{00000000-0005-0000-0000-000072010000}"/>
    <cellStyle name="Percent 3" xfId="379" xr:uid="{00000000-0005-0000-0000-000073010000}"/>
    <cellStyle name="Percent 3 2" xfId="380" xr:uid="{00000000-0005-0000-0000-000074010000}"/>
    <cellStyle name="Percent 3 2 2" xfId="381" xr:uid="{00000000-0005-0000-0000-000075010000}"/>
    <cellStyle name="Percent 3 2 2 2" xfId="597" xr:uid="{AE4833E7-E949-4714-ABF6-A67936B87B20}"/>
    <cellStyle name="Percent 3 2 2 2 2" xfId="1021" xr:uid="{874CF2E4-130D-4BB4-BD11-2192B70577E4}"/>
    <cellStyle name="Percent 3 2 2 3" xfId="810" xr:uid="{DA917893-2CDE-43B6-8692-05889E982E26}"/>
    <cellStyle name="Percent 3 2 3" xfId="382" xr:uid="{00000000-0005-0000-0000-000076010000}"/>
    <cellStyle name="Percent 3 2 3 2" xfId="598" xr:uid="{12D9CDC2-BA7F-43D7-85B6-DB4B7EB61DFA}"/>
    <cellStyle name="Percent 3 2 3 2 2" xfId="1022" xr:uid="{209405C0-BC35-4FA2-9FF8-1275D4A83260}"/>
    <cellStyle name="Percent 3 2 3 3" xfId="811" xr:uid="{D1D8BC6C-4B82-4766-B47A-66F9CB552E5F}"/>
    <cellStyle name="Percent 3 2 4" xfId="599" xr:uid="{6630E0E3-4115-4F95-955E-AD5B93517764}"/>
    <cellStyle name="Percent 3 2 4 2" xfId="1023" xr:uid="{A3FB5E9E-8ACF-4E4C-9F6F-4BFD8D40EDF4}"/>
    <cellStyle name="Percent 3 2 5" xfId="809" xr:uid="{86A7BBF1-4954-4285-831E-D5B5589FD3F6}"/>
    <cellStyle name="Percent 3 3" xfId="383" xr:uid="{00000000-0005-0000-0000-000077010000}"/>
    <cellStyle name="Percent 3 4" xfId="384" xr:uid="{00000000-0005-0000-0000-000078010000}"/>
    <cellStyle name="Percent 3 4 2" xfId="600" xr:uid="{706BA180-43E8-4737-9744-774486611E81}"/>
    <cellStyle name="Percent 3 4 2 2" xfId="1024" xr:uid="{45880C93-D27B-43DF-957F-ADAB261F7462}"/>
    <cellStyle name="Percent 3 4 3" xfId="812" xr:uid="{3F0D0A20-4CB4-42ED-A898-823D932D1C54}"/>
    <cellStyle name="Percent 3 5" xfId="385" xr:uid="{00000000-0005-0000-0000-000079010000}"/>
    <cellStyle name="Percent 3 5 2" xfId="601" xr:uid="{6464CE81-CBCD-4EB9-88EE-4B6B5C47447F}"/>
    <cellStyle name="Percent 3 5 2 2" xfId="1025" xr:uid="{059D160C-DBAC-4F15-94DB-8EE6EC2C2F5B}"/>
    <cellStyle name="Percent 3 5 3" xfId="813" xr:uid="{48E44C8B-0519-4016-8C1D-D1853287F2D4}"/>
    <cellStyle name="Percent 3 6" xfId="602" xr:uid="{FCDE35B9-8B83-4083-ACDA-A32790BEA33A}"/>
    <cellStyle name="Percent 3 6 2" xfId="1026" xr:uid="{139B00D7-B105-4918-A01D-C6F2B0BA7CB1}"/>
    <cellStyle name="Percent 3 7" xfId="808" xr:uid="{0B33FB27-4E33-4176-B4D7-2BC54664FC47}"/>
    <cellStyle name="Percent 4" xfId="386" xr:uid="{00000000-0005-0000-0000-00007A010000}"/>
    <cellStyle name="Percent 4 2" xfId="387" xr:uid="{00000000-0005-0000-0000-00007B010000}"/>
    <cellStyle name="Percent 4 2 2" xfId="603" xr:uid="{D3B1BCD0-A744-4306-B20B-38086BE79531}"/>
    <cellStyle name="Percent 4 2 2 2" xfId="1027" xr:uid="{00F03B5A-6819-4245-BA3A-BC2F015C192D}"/>
    <cellStyle name="Percent 4 2 3" xfId="815" xr:uid="{620E950D-2ECD-4976-A821-C6A3FE0BD373}"/>
    <cellStyle name="Percent 4 3" xfId="388" xr:uid="{00000000-0005-0000-0000-00007C010000}"/>
    <cellStyle name="Percent 4 3 2" xfId="604" xr:uid="{9D28B0C4-5250-423A-918D-FD6B1FE81079}"/>
    <cellStyle name="Percent 4 3 2 2" xfId="1028" xr:uid="{D0F8F086-A90E-4604-A92A-8F11518BDC2A}"/>
    <cellStyle name="Percent 4 3 3" xfId="816" xr:uid="{1BA20455-66F3-4139-829F-DB6A01D1198C}"/>
    <cellStyle name="Percent 4 4" xfId="605" xr:uid="{74D41662-342E-41F9-BF07-DBE21F64BD63}"/>
    <cellStyle name="Percent 4 4 2" xfId="1029" xr:uid="{B727A444-FD35-4A63-A81D-5D49A15CA059}"/>
    <cellStyle name="Percent 4 5" xfId="814" xr:uid="{E0BF314D-2990-44F6-AEF8-E54BCAAF66DD}"/>
    <cellStyle name="Percent 5" xfId="389" xr:uid="{00000000-0005-0000-0000-00007D010000}"/>
    <cellStyle name="Percent 5 2" xfId="606" xr:uid="{AC4A3809-1283-4A40-AE47-59E5674C4EB5}"/>
    <cellStyle name="Percent 5 2 2" xfId="1030" xr:uid="{2AC2FCB9-3EB6-497D-BE60-AD1126AEB614}"/>
    <cellStyle name="Percent 5 3" xfId="817" xr:uid="{D3F68AA1-2CE6-4223-A21F-29086A0002D6}"/>
    <cellStyle name="Percent 6" xfId="390" xr:uid="{00000000-0005-0000-0000-00007E010000}"/>
    <cellStyle name="Percent 6 2" xfId="607" xr:uid="{454BF093-2B3B-4DB9-989D-A976FC01F7AF}"/>
    <cellStyle name="Percent 6 2 2" xfId="1031" xr:uid="{138EB75D-DDC7-4E5A-8886-FA39DA0B0503}"/>
    <cellStyle name="Percent 6 3" xfId="818" xr:uid="{0742BFF2-52C4-42DD-B29B-1DEDD460A67D}"/>
    <cellStyle name="Style 1" xfId="45" xr:uid="{00000000-0005-0000-0000-00007F010000}"/>
    <cellStyle name="Style 1 2" xfId="78" xr:uid="{00000000-0005-0000-0000-000080010000}"/>
    <cellStyle name="Title" xfId="46" builtinId="15" customBuiltin="1"/>
    <cellStyle name="Title 2" xfId="131" xr:uid="{00000000-0005-0000-0000-000082010000}"/>
    <cellStyle name="Title 3" xfId="391" xr:uid="{00000000-0005-0000-0000-000083010000}"/>
    <cellStyle name="Total" xfId="47" builtinId="25" customBuiltin="1"/>
    <cellStyle name="Total 2" xfId="132" xr:uid="{00000000-0005-0000-0000-000085010000}"/>
    <cellStyle name="Total 3" xfId="392" xr:uid="{00000000-0005-0000-0000-000086010000}"/>
    <cellStyle name="Warning Text" xfId="48" builtinId="11" customBuiltin="1"/>
    <cellStyle name="Warning Text 2" xfId="133" xr:uid="{00000000-0005-0000-0000-000088010000}"/>
    <cellStyle name="Warning Text 3" xfId="393" xr:uid="{00000000-0005-0000-0000-000089010000}"/>
  </cellStyles>
  <dxfs count="0"/>
  <tableStyles count="0" defaultTableStyle="TableStyleMedium9" defaultPivotStyle="PivotStyleLight16"/>
  <colors>
    <mruColors>
      <color rgb="FF1F0BB5"/>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7"/>
  <sheetViews>
    <sheetView tabSelected="1" view="pageLayout" zoomScaleNormal="90" workbookViewId="0">
      <selection activeCell="F7" sqref="F7:F9"/>
    </sheetView>
  </sheetViews>
  <sheetFormatPr defaultColWidth="9.42578125" defaultRowHeight="12.75" x14ac:dyDescent="0.2"/>
  <cols>
    <col min="1" max="1" width="10.5703125" style="1" customWidth="1"/>
    <col min="2" max="2" width="17.42578125" style="1" customWidth="1"/>
    <col min="3" max="7" width="20.42578125" style="1" customWidth="1"/>
    <col min="8" max="8" width="18.42578125" style="1" customWidth="1"/>
    <col min="9" max="18" width="20.42578125" style="1" customWidth="1"/>
    <col min="19" max="19" width="11.42578125" style="1" bestFit="1" customWidth="1"/>
    <col min="20" max="20" width="10.42578125" style="1" bestFit="1" customWidth="1"/>
    <col min="21" max="21" width="12.5703125" style="1" bestFit="1" customWidth="1"/>
    <col min="22" max="22" width="11.5703125" style="1" bestFit="1" customWidth="1"/>
    <col min="23" max="23" width="10.42578125" style="1" bestFit="1" customWidth="1"/>
    <col min="24" max="24" width="11.5703125" style="1" bestFit="1" customWidth="1"/>
    <col min="25" max="29" width="9.42578125" style="1"/>
    <col min="30" max="30" width="17.5703125" style="1" bestFit="1" customWidth="1"/>
    <col min="31" max="31" width="19.42578125" style="1" bestFit="1" customWidth="1"/>
    <col min="32" max="33" width="15.42578125" style="1" bestFit="1" customWidth="1"/>
    <col min="34" max="16384" width="9.42578125" style="1"/>
  </cols>
  <sheetData>
    <row r="1" spans="1:31" ht="18" x14ac:dyDescent="0.25">
      <c r="A1" s="361" t="s">
        <v>444</v>
      </c>
      <c r="B1" s="362"/>
      <c r="C1" s="362"/>
      <c r="D1" s="362"/>
      <c r="E1" s="362"/>
      <c r="F1" s="362"/>
      <c r="G1" s="362"/>
      <c r="H1" s="362"/>
      <c r="I1" s="362"/>
      <c r="J1" s="362"/>
      <c r="K1" s="362"/>
      <c r="L1" s="362"/>
      <c r="M1" s="362"/>
      <c r="N1" s="362"/>
      <c r="O1" s="362"/>
      <c r="P1" s="362"/>
      <c r="Q1" s="362"/>
      <c r="R1" s="362"/>
    </row>
    <row r="2" spans="1:31" ht="18" x14ac:dyDescent="0.25">
      <c r="A2" s="361" t="s">
        <v>0</v>
      </c>
      <c r="B2" s="361"/>
      <c r="C2" s="361"/>
      <c r="D2" s="361"/>
      <c r="E2" s="361"/>
      <c r="F2" s="361"/>
      <c r="G2" s="361"/>
      <c r="H2" s="361"/>
      <c r="I2" s="361"/>
      <c r="J2" s="361"/>
      <c r="K2" s="361"/>
      <c r="L2" s="361"/>
      <c r="M2" s="361"/>
      <c r="N2" s="361"/>
      <c r="O2" s="361"/>
      <c r="P2" s="361"/>
      <c r="Q2" s="361"/>
      <c r="R2" s="361"/>
    </row>
    <row r="3" spans="1:31" ht="18" x14ac:dyDescent="0.25">
      <c r="A3" s="363" t="s">
        <v>1</v>
      </c>
      <c r="B3" s="363"/>
      <c r="C3" s="363"/>
      <c r="D3" s="363"/>
      <c r="E3" s="363"/>
      <c r="F3" s="363"/>
      <c r="G3" s="363"/>
      <c r="H3" s="363"/>
      <c r="I3" s="363"/>
      <c r="J3" s="363"/>
      <c r="K3" s="363"/>
      <c r="L3" s="363"/>
      <c r="M3" s="363"/>
      <c r="N3" s="363"/>
      <c r="O3" s="363"/>
      <c r="P3" s="363"/>
      <c r="Q3" s="363"/>
      <c r="R3" s="363"/>
    </row>
    <row r="4" spans="1:31" ht="19.5" customHeight="1" x14ac:dyDescent="0.25">
      <c r="A4" s="361" t="s">
        <v>2</v>
      </c>
      <c r="B4" s="361"/>
      <c r="C4" s="361"/>
      <c r="D4" s="361"/>
      <c r="E4" s="361"/>
      <c r="F4" s="361"/>
      <c r="G4" s="361"/>
      <c r="H4" s="361"/>
      <c r="I4" s="361"/>
      <c r="J4" s="361"/>
      <c r="K4" s="361"/>
      <c r="L4" s="361"/>
      <c r="M4" s="361"/>
      <c r="N4" s="361"/>
      <c r="O4" s="361"/>
      <c r="P4" s="361"/>
      <c r="Q4" s="361"/>
      <c r="R4" s="361"/>
    </row>
    <row r="5" spans="1:31" ht="16.5" thickBot="1" x14ac:dyDescent="0.3">
      <c r="A5" s="359" t="s">
        <v>3</v>
      </c>
      <c r="B5" s="360"/>
      <c r="C5" s="360"/>
      <c r="D5" s="360"/>
      <c r="E5" s="360"/>
      <c r="F5" s="360"/>
      <c r="G5" s="360"/>
      <c r="H5" s="360"/>
      <c r="I5" s="360"/>
      <c r="J5" s="360"/>
      <c r="K5" s="360"/>
      <c r="L5" s="360"/>
      <c r="M5" s="360"/>
      <c r="N5" s="360"/>
      <c r="O5" s="360"/>
      <c r="P5" s="360"/>
      <c r="Q5" s="360"/>
      <c r="R5" s="360"/>
    </row>
    <row r="6" spans="1:31" ht="16.5" thickBot="1" x14ac:dyDescent="0.3">
      <c r="A6" s="256"/>
      <c r="B6" s="256"/>
      <c r="C6" s="328" t="s">
        <v>4</v>
      </c>
      <c r="D6" s="329"/>
      <c r="E6" s="329"/>
      <c r="F6" s="329"/>
      <c r="G6" s="329"/>
      <c r="H6" s="329"/>
      <c r="I6" s="329"/>
      <c r="J6" s="329"/>
      <c r="K6" s="329"/>
      <c r="L6" s="330"/>
      <c r="M6" s="328" t="s">
        <v>5</v>
      </c>
      <c r="N6" s="329"/>
      <c r="O6" s="329"/>
      <c r="P6" s="330"/>
      <c r="Q6" s="256"/>
      <c r="R6" s="256"/>
    </row>
    <row r="7" spans="1:31" s="11" customFormat="1" ht="12.75" customHeight="1" x14ac:dyDescent="0.2">
      <c r="A7" s="353" t="s">
        <v>6</v>
      </c>
      <c r="B7" s="356" t="s">
        <v>7</v>
      </c>
      <c r="C7" s="334" t="s">
        <v>8</v>
      </c>
      <c r="D7" s="334" t="s">
        <v>9</v>
      </c>
      <c r="E7" s="334" t="s">
        <v>10</v>
      </c>
      <c r="F7" s="334" t="s">
        <v>11</v>
      </c>
      <c r="G7" s="334" t="s">
        <v>12</v>
      </c>
      <c r="H7" s="334" t="s">
        <v>13</v>
      </c>
      <c r="I7" s="334" t="s">
        <v>14</v>
      </c>
      <c r="J7" s="334" t="s">
        <v>15</v>
      </c>
      <c r="K7" s="335" t="s">
        <v>16</v>
      </c>
      <c r="L7" s="334" t="s">
        <v>17</v>
      </c>
      <c r="M7" s="335" t="s">
        <v>18</v>
      </c>
      <c r="N7" s="334" t="s">
        <v>19</v>
      </c>
      <c r="O7" s="335" t="s">
        <v>20</v>
      </c>
      <c r="P7" s="334" t="s">
        <v>21</v>
      </c>
      <c r="Q7" s="331" t="s">
        <v>22</v>
      </c>
      <c r="R7" s="331" t="s">
        <v>23</v>
      </c>
      <c r="S7" s="13"/>
      <c r="T7" s="13"/>
    </row>
    <row r="8" spans="1:31" s="11" customFormat="1" ht="12.6" customHeight="1" x14ac:dyDescent="0.2">
      <c r="A8" s="354"/>
      <c r="B8" s="357"/>
      <c r="C8" s="332"/>
      <c r="D8" s="332"/>
      <c r="E8" s="332"/>
      <c r="F8" s="332"/>
      <c r="G8" s="332"/>
      <c r="H8" s="332"/>
      <c r="I8" s="332"/>
      <c r="J8" s="332"/>
      <c r="K8" s="336"/>
      <c r="L8" s="332"/>
      <c r="M8" s="336"/>
      <c r="N8" s="332"/>
      <c r="O8" s="336"/>
      <c r="P8" s="332"/>
      <c r="Q8" s="332"/>
      <c r="R8" s="332"/>
      <c r="S8" s="13"/>
      <c r="T8" s="13"/>
    </row>
    <row r="9" spans="1:31" s="11" customFormat="1" ht="28.5" customHeight="1" thickBot="1" x14ac:dyDescent="0.25">
      <c r="A9" s="355"/>
      <c r="B9" s="358"/>
      <c r="C9" s="333"/>
      <c r="D9" s="333"/>
      <c r="E9" s="333"/>
      <c r="F9" s="333"/>
      <c r="G9" s="333"/>
      <c r="H9" s="333"/>
      <c r="I9" s="333"/>
      <c r="J9" s="333"/>
      <c r="K9" s="337"/>
      <c r="L9" s="333"/>
      <c r="M9" s="337"/>
      <c r="N9" s="333"/>
      <c r="O9" s="337"/>
      <c r="P9" s="333"/>
      <c r="Q9" s="333"/>
      <c r="R9" s="333"/>
      <c r="S9" s="13"/>
      <c r="T9" s="13"/>
    </row>
    <row r="10" spans="1:31" s="11" customFormat="1" ht="20.100000000000001" customHeight="1" x14ac:dyDescent="0.25">
      <c r="A10" s="76">
        <v>2019</v>
      </c>
      <c r="B10" s="77">
        <v>44012</v>
      </c>
      <c r="C10" s="78">
        <f>+'Mod Complete - Terrora'!I11</f>
        <v>1041.84861</v>
      </c>
      <c r="D10" s="78">
        <f>'Mod Complete - Terrora'!J11</f>
        <v>260.41577000000001</v>
      </c>
      <c r="E10" s="78">
        <f>+Tugalo!O8</f>
        <v>0</v>
      </c>
      <c r="F10" s="82">
        <v>0</v>
      </c>
      <c r="G10" s="78">
        <f>+Bartletts!O8</f>
        <v>0</v>
      </c>
      <c r="H10" s="82">
        <v>0</v>
      </c>
      <c r="I10" s="78">
        <f>+Nacoochee!I8</f>
        <v>0</v>
      </c>
      <c r="J10" s="88">
        <v>0</v>
      </c>
      <c r="K10" s="79">
        <f>+Oliver!O8</f>
        <v>0</v>
      </c>
      <c r="L10" s="83">
        <v>0</v>
      </c>
      <c r="M10" s="247">
        <v>0</v>
      </c>
      <c r="N10" s="182"/>
      <c r="O10" s="247">
        <v>0</v>
      </c>
      <c r="P10" s="247">
        <v>0</v>
      </c>
      <c r="Q10" s="111">
        <f t="shared" ref="Q10:Q27" si="0">C10+E10+G10+I10+K10+M10+O10</f>
        <v>1041.84861</v>
      </c>
      <c r="R10" s="111">
        <f>D10+F10+H10+J10+L10+N10+P10</f>
        <v>260.41577000000001</v>
      </c>
      <c r="S10" s="13"/>
      <c r="T10" s="13"/>
      <c r="U10" s="159"/>
    </row>
    <row r="11" spans="1:31" s="11" customFormat="1" ht="20.100000000000001" customHeight="1" x14ac:dyDescent="0.25">
      <c r="A11" s="80">
        <v>2019</v>
      </c>
      <c r="B11" s="81">
        <v>44196</v>
      </c>
      <c r="C11" s="82">
        <f>+'Mod Complete - Terrora'!I12</f>
        <v>3429.6734099999999</v>
      </c>
      <c r="D11" s="82">
        <f>'Mod Complete - Terrora'!J12</f>
        <v>1848.0929600000002</v>
      </c>
      <c r="E11" s="82">
        <f>+Tugalo!O9</f>
        <v>0</v>
      </c>
      <c r="F11" s="82">
        <v>0</v>
      </c>
      <c r="G11" s="82">
        <f>+Bartletts!O9</f>
        <v>0</v>
      </c>
      <c r="H11" s="82">
        <v>0</v>
      </c>
      <c r="I11" s="82">
        <f>+Nacoochee!I9</f>
        <v>0</v>
      </c>
      <c r="J11" s="88">
        <v>0</v>
      </c>
      <c r="K11" s="83">
        <f>+Oliver!O9</f>
        <v>0</v>
      </c>
      <c r="L11" s="83">
        <v>0</v>
      </c>
      <c r="M11" s="248">
        <v>0</v>
      </c>
      <c r="N11" s="182"/>
      <c r="O11" s="248">
        <v>0</v>
      </c>
      <c r="P11" s="248">
        <v>0</v>
      </c>
      <c r="Q11" s="112">
        <f t="shared" si="0"/>
        <v>3429.6734099999999</v>
      </c>
      <c r="R11" s="112">
        <f t="shared" ref="R11:R27" si="1">D11+F11+H11+J11+L11+N11+P11</f>
        <v>1848.0929600000002</v>
      </c>
      <c r="S11" s="13"/>
      <c r="T11" s="13"/>
      <c r="U11" s="159"/>
    </row>
    <row r="12" spans="1:31" ht="20.100000000000001" customHeight="1" x14ac:dyDescent="0.25">
      <c r="A12" s="80">
        <v>2020</v>
      </c>
      <c r="B12" s="81">
        <v>44012</v>
      </c>
      <c r="C12" s="82">
        <f>+'Mod Complete - Terrora'!I13</f>
        <v>9855.3481500000016</v>
      </c>
      <c r="D12" s="82">
        <f>'Mod Complete - Terrora'!J13</f>
        <v>10687.307809999997</v>
      </c>
      <c r="E12" s="82">
        <f>+Tugalo!O11</f>
        <v>628.88609999999994</v>
      </c>
      <c r="F12" s="82">
        <f>Tugalo!P11</f>
        <v>623.50723000000005</v>
      </c>
      <c r="G12" s="82">
        <f>+Bartletts!O11</f>
        <v>683.18465000000003</v>
      </c>
      <c r="H12" s="82">
        <f>Bartletts!P11</f>
        <v>683.18465000000003</v>
      </c>
      <c r="I12" s="82">
        <f>+Nacoochee!I11</f>
        <v>33.824249999999999</v>
      </c>
      <c r="J12" s="88">
        <v>33.824249999999999</v>
      </c>
      <c r="K12" s="83">
        <f>+Oliver!O11</f>
        <v>434.24</v>
      </c>
      <c r="L12" s="83">
        <v>434.23951999999997</v>
      </c>
      <c r="M12" s="248">
        <v>0</v>
      </c>
      <c r="N12" s="182"/>
      <c r="O12" s="248">
        <v>0</v>
      </c>
      <c r="P12" s="248">
        <v>0</v>
      </c>
      <c r="Q12" s="112">
        <f t="shared" si="0"/>
        <v>11635.48315</v>
      </c>
      <c r="R12" s="112">
        <f t="shared" si="1"/>
        <v>12462.063459999994</v>
      </c>
      <c r="S12" s="13"/>
      <c r="T12" s="13"/>
      <c r="U12" s="52"/>
      <c r="V12" s="63"/>
      <c r="Y12" s="12"/>
      <c r="Z12" s="13"/>
      <c r="AA12" s="13"/>
      <c r="AB12" s="13"/>
      <c r="AC12" s="51"/>
      <c r="AD12" s="51"/>
      <c r="AE12" s="51"/>
    </row>
    <row r="13" spans="1:31" s="11" customFormat="1" ht="20.100000000000001" customHeight="1" x14ac:dyDescent="0.25">
      <c r="A13" s="84">
        <v>2020</v>
      </c>
      <c r="B13" s="81">
        <v>44196</v>
      </c>
      <c r="C13" s="82">
        <f>+'Mod Complete - Terrora'!I14</f>
        <v>15497.80011</v>
      </c>
      <c r="D13" s="82">
        <f>'Mod Complete - Terrora'!J14</f>
        <v>18624.391799999998</v>
      </c>
      <c r="E13" s="82">
        <f>+Tugalo!O12</f>
        <v>5507.521929999999</v>
      </c>
      <c r="F13" s="82">
        <f>Tugalo!P12</f>
        <v>5442.7172300000002</v>
      </c>
      <c r="G13" s="82">
        <f>+Bartletts!O12</f>
        <v>1733.8483600000002</v>
      </c>
      <c r="H13" s="82">
        <f>Bartletts!P12</f>
        <v>1733.8483600000002</v>
      </c>
      <c r="I13" s="82">
        <f>+Nacoochee!I12</f>
        <v>6.44374</v>
      </c>
      <c r="J13" s="88">
        <v>6.44374</v>
      </c>
      <c r="K13" s="83">
        <f>+Oliver!O12</f>
        <v>3.1400300000000003</v>
      </c>
      <c r="L13" s="83">
        <v>3.1400300000000003</v>
      </c>
      <c r="M13" s="248">
        <v>0</v>
      </c>
      <c r="N13" s="182"/>
      <c r="O13" s="248">
        <v>0</v>
      </c>
      <c r="P13" s="248">
        <v>0</v>
      </c>
      <c r="Q13" s="112">
        <f t="shared" si="0"/>
        <v>22748.754169999997</v>
      </c>
      <c r="R13" s="112">
        <f t="shared" si="1"/>
        <v>25810.541159999997</v>
      </c>
      <c r="S13" s="13"/>
      <c r="T13" s="13"/>
      <c r="U13" s="53"/>
      <c r="V13" s="63"/>
      <c r="Y13" s="14"/>
      <c r="Z13" s="13"/>
      <c r="AA13" s="13"/>
      <c r="AB13" s="13"/>
      <c r="AC13" s="51"/>
      <c r="AD13" s="51"/>
      <c r="AE13" s="51"/>
    </row>
    <row r="14" spans="1:31" s="11" customFormat="1" ht="20.100000000000001" customHeight="1" x14ac:dyDescent="0.25">
      <c r="A14" s="84">
        <v>2021</v>
      </c>
      <c r="B14" s="81">
        <v>44012</v>
      </c>
      <c r="C14" s="82">
        <f>+'Mod Complete - Terrora'!I15</f>
        <v>8060.1642700000011</v>
      </c>
      <c r="D14" s="82">
        <f>'Mod Complete - Terrora'!J15</f>
        <v>8180.7575299999999</v>
      </c>
      <c r="E14" s="82">
        <f>+Tugalo!O13</f>
        <v>2188.3581799999997</v>
      </c>
      <c r="F14" s="82">
        <f>Tugalo!P13</f>
        <v>2187.4721099999965</v>
      </c>
      <c r="G14" s="82">
        <f>+Bartletts!O13</f>
        <v>3405.1117999999997</v>
      </c>
      <c r="H14" s="82">
        <f>Bartletts!P13</f>
        <v>3405.1117999999997</v>
      </c>
      <c r="I14" s="82">
        <f>+Nacoochee!I13</f>
        <v>344.71178999999995</v>
      </c>
      <c r="J14" s="88">
        <v>344.71178999999995</v>
      </c>
      <c r="K14" s="83">
        <f>+Oliver!O13</f>
        <v>480.20600000000002</v>
      </c>
      <c r="L14" s="83">
        <v>480.20634000000001</v>
      </c>
      <c r="M14" s="248">
        <v>0</v>
      </c>
      <c r="N14" s="182"/>
      <c r="O14" s="248">
        <v>0</v>
      </c>
      <c r="P14" s="248">
        <v>0</v>
      </c>
      <c r="Q14" s="112">
        <f t="shared" si="0"/>
        <v>14478.552039999999</v>
      </c>
      <c r="R14" s="112">
        <f t="shared" si="1"/>
        <v>14598.259569999997</v>
      </c>
      <c r="S14" s="13"/>
      <c r="T14" s="13"/>
      <c r="U14" s="53"/>
      <c r="V14" s="63"/>
      <c r="W14" s="13"/>
      <c r="X14" s="13"/>
      <c r="Y14" s="13"/>
      <c r="Z14" s="13"/>
      <c r="AA14" s="13"/>
      <c r="AB14" s="13"/>
      <c r="AC14" s="51"/>
      <c r="AD14" s="51"/>
      <c r="AE14" s="51"/>
    </row>
    <row r="15" spans="1:31" s="11" customFormat="1" ht="20.100000000000001" customHeight="1" x14ac:dyDescent="0.25">
      <c r="A15" s="195">
        <v>2021</v>
      </c>
      <c r="B15" s="81">
        <v>44196</v>
      </c>
      <c r="C15" s="204">
        <f>+'Mod Complete - Terrora'!I16</f>
        <v>8449.4292399999995</v>
      </c>
      <c r="D15" s="82">
        <f>'Mod Complete - Terrora'!J16</f>
        <v>7693.7221499999996</v>
      </c>
      <c r="E15" s="204">
        <f>+Tugalo!O14</f>
        <v>18029.68865</v>
      </c>
      <c r="F15" s="82">
        <f>Tugalo!P14</f>
        <v>17472.83905999998</v>
      </c>
      <c r="G15" s="204">
        <f>+Bartletts!O14</f>
        <v>11287.420999999998</v>
      </c>
      <c r="H15" s="82">
        <f>Bartletts!P14</f>
        <v>11315.420999999998</v>
      </c>
      <c r="I15" s="204">
        <f>+Nacoochee!I14</f>
        <v>1352.0202899999999</v>
      </c>
      <c r="J15" s="88">
        <v>1352.0202899999999</v>
      </c>
      <c r="K15" s="205">
        <f>+Oliver!O14</f>
        <v>521.08399999999995</v>
      </c>
      <c r="L15" s="83">
        <v>521.08523804200013</v>
      </c>
      <c r="M15" s="249">
        <v>0</v>
      </c>
      <c r="N15" s="182"/>
      <c r="O15" s="248">
        <v>0</v>
      </c>
      <c r="P15" s="248">
        <v>0</v>
      </c>
      <c r="Q15" s="206">
        <f t="shared" si="0"/>
        <v>39639.643179999999</v>
      </c>
      <c r="R15" s="112">
        <f t="shared" si="1"/>
        <v>38355.08773804197</v>
      </c>
      <c r="S15" s="13"/>
      <c r="T15" s="13"/>
      <c r="U15" s="53"/>
      <c r="V15" s="63"/>
      <c r="Y15" s="14"/>
      <c r="Z15" s="13"/>
      <c r="AA15" s="13"/>
      <c r="AB15" s="13"/>
      <c r="AC15" s="51"/>
      <c r="AD15" s="51"/>
      <c r="AE15" s="51"/>
    </row>
    <row r="16" spans="1:31" s="11" customFormat="1" ht="20.100000000000001" customHeight="1" x14ac:dyDescent="0.25">
      <c r="A16" s="80">
        <v>2022</v>
      </c>
      <c r="B16" s="81">
        <v>44012</v>
      </c>
      <c r="C16" s="82">
        <f>+'Mod Complete - Terrora'!I17</f>
        <v>863.33342999999877</v>
      </c>
      <c r="D16" s="82">
        <f>'Mod Complete - Terrora'!J17</f>
        <v>750</v>
      </c>
      <c r="E16" s="82">
        <f>+Tugalo!O15</f>
        <v>6805.6451199999974</v>
      </c>
      <c r="F16" s="82">
        <f>Tugalo!P15</f>
        <v>13466.679839523795</v>
      </c>
      <c r="G16" s="82">
        <f>+Bartletts!O15</f>
        <v>6375.0951100000329</v>
      </c>
      <c r="H16" s="82">
        <f>Bartletts!P15</f>
        <v>4671.91</v>
      </c>
      <c r="I16" s="82">
        <f>+Nacoochee!I15</f>
        <v>677.45303999999987</v>
      </c>
      <c r="J16" s="88">
        <v>677.45303999999987</v>
      </c>
      <c r="K16" s="83">
        <f>+Oliver!O15</f>
        <v>240.55464000000001</v>
      </c>
      <c r="L16" s="83">
        <v>240.55505000000002</v>
      </c>
      <c r="M16" s="83">
        <v>0</v>
      </c>
      <c r="N16" s="182"/>
      <c r="O16" s="83">
        <v>0</v>
      </c>
      <c r="P16" s="83">
        <v>0</v>
      </c>
      <c r="Q16" s="112">
        <f t="shared" si="0"/>
        <v>14962.08134000003</v>
      </c>
      <c r="R16" s="112">
        <f t="shared" si="1"/>
        <v>19806.597929523796</v>
      </c>
      <c r="S16" s="13"/>
      <c r="T16" s="13"/>
      <c r="U16" s="53"/>
      <c r="V16" s="63"/>
      <c r="W16" s="15"/>
      <c r="X16" s="15"/>
      <c r="Y16" s="15"/>
      <c r="Z16" s="13"/>
      <c r="AA16" s="13"/>
      <c r="AB16" s="13"/>
      <c r="AC16" s="51"/>
      <c r="AD16" s="51"/>
      <c r="AE16" s="51"/>
    </row>
    <row r="17" spans="1:32" s="11" customFormat="1" ht="20.100000000000001" customHeight="1" x14ac:dyDescent="0.25">
      <c r="A17" s="84">
        <v>2022</v>
      </c>
      <c r="B17" s="81">
        <v>44196</v>
      </c>
      <c r="C17" s="82">
        <f>+'Mod Complete - Terrora'!I18</f>
        <v>-166.42049000000003</v>
      </c>
      <c r="D17" s="82">
        <f>'Mod Complete - Terrora'!J18</f>
        <v>0</v>
      </c>
      <c r="E17" s="82">
        <f>+Tugalo!O16</f>
        <v>19110.907109999996</v>
      </c>
      <c r="F17" s="82">
        <f>Tugalo!P16</f>
        <v>19761.833730476155</v>
      </c>
      <c r="G17" s="82">
        <f>+Bartletts!O16</f>
        <v>13844.399550000002</v>
      </c>
      <c r="H17" s="82">
        <f>Bartletts!P16</f>
        <v>14461</v>
      </c>
      <c r="I17" s="82">
        <f>+Nacoochee!I16</f>
        <v>2922.9958299999994</v>
      </c>
      <c r="J17" s="88">
        <v>2922.9958299999994</v>
      </c>
      <c r="K17" s="83">
        <f>+Oliver!O16</f>
        <v>4953.6747899999991</v>
      </c>
      <c r="L17" s="83">
        <v>4953.6755199999998</v>
      </c>
      <c r="M17" s="83">
        <f>+Sinclair!I16</f>
        <v>683.17188999999996</v>
      </c>
      <c r="N17" s="182"/>
      <c r="O17" s="83">
        <f>+Burton!I16</f>
        <v>1299.9292599999999</v>
      </c>
      <c r="P17" s="205">
        <v>1299.9292599999999</v>
      </c>
      <c r="Q17" s="112">
        <f>C17+E17+G17+I17+K17+M17+O17</f>
        <v>42648.65793999999</v>
      </c>
      <c r="R17" s="112">
        <f t="shared" si="1"/>
        <v>43399.434340476146</v>
      </c>
      <c r="S17" s="13"/>
      <c r="T17" s="13"/>
      <c r="U17" s="53"/>
      <c r="Y17" s="42"/>
      <c r="Z17" s="13"/>
      <c r="AA17" s="13"/>
      <c r="AB17" s="13"/>
      <c r="AC17" s="51"/>
      <c r="AD17" s="51"/>
      <c r="AE17" s="51"/>
    </row>
    <row r="18" spans="1:32" s="11" customFormat="1" ht="20.100000000000001" customHeight="1" x14ac:dyDescent="0.25">
      <c r="A18" s="80">
        <v>2023</v>
      </c>
      <c r="B18" s="81">
        <v>44012</v>
      </c>
      <c r="C18" s="85"/>
      <c r="D18" s="85"/>
      <c r="E18" s="82">
        <f>+Tugalo!O17</f>
        <v>11342.445879999999</v>
      </c>
      <c r="F18" s="82">
        <f>Tugalo!P17</f>
        <v>11032.993011250031</v>
      </c>
      <c r="G18" s="82">
        <f>+Bartletts!O17</f>
        <v>17428.86168999998</v>
      </c>
      <c r="H18" s="82">
        <f>Bartletts!P17</f>
        <v>18095.7</v>
      </c>
      <c r="I18" s="82">
        <f>+Nacoochee!I17</f>
        <v>2509.5553099999993</v>
      </c>
      <c r="J18" s="88">
        <v>2292.9643791600001</v>
      </c>
      <c r="K18" s="83">
        <f>+Oliver!O17</f>
        <v>1979.5165900000025</v>
      </c>
      <c r="L18" s="83">
        <v>1979.5170826399999</v>
      </c>
      <c r="M18" s="248">
        <f>+Sinclair!I17</f>
        <v>172.73418999999993</v>
      </c>
      <c r="N18" s="182"/>
      <c r="O18" s="83">
        <f>+Burton!I17</f>
        <v>152.22868999999994</v>
      </c>
      <c r="P18" s="83">
        <v>152.22869</v>
      </c>
      <c r="Q18" s="112">
        <f t="shared" si="0"/>
        <v>33585.342349999984</v>
      </c>
      <c r="R18" s="112">
        <f t="shared" si="1"/>
        <v>33553.403163050039</v>
      </c>
      <c r="S18" s="13"/>
      <c r="T18" s="13"/>
      <c r="U18" s="53"/>
      <c r="Y18" s="42"/>
      <c r="Z18" s="13"/>
      <c r="AA18" s="13"/>
      <c r="AB18" s="13"/>
      <c r="AC18" s="51"/>
      <c r="AD18" s="51"/>
      <c r="AE18" s="51"/>
    </row>
    <row r="19" spans="1:32" s="11" customFormat="1" ht="20.100000000000001" customHeight="1" x14ac:dyDescent="0.25">
      <c r="A19" s="84">
        <v>2023</v>
      </c>
      <c r="B19" s="81">
        <v>44196</v>
      </c>
      <c r="C19" s="85"/>
      <c r="D19" s="85"/>
      <c r="E19" s="82">
        <f>+Tugalo!O18</f>
        <v>22510.249519999976</v>
      </c>
      <c r="F19" s="82">
        <f>Tugalo!P18</f>
        <v>7858.4967020833428</v>
      </c>
      <c r="G19" s="82">
        <f>+Bartletts!O18</f>
        <v>20761.515109999997</v>
      </c>
      <c r="H19" s="82">
        <f>Bartletts!P18</f>
        <v>14532.300000000001</v>
      </c>
      <c r="I19" s="82">
        <f>+Nacoochee!I18</f>
        <v>7300.4087699999891</v>
      </c>
      <c r="J19" s="88">
        <v>10066.528857551268</v>
      </c>
      <c r="K19" s="83">
        <f>+Oliver!O18</f>
        <v>14252.660109999999</v>
      </c>
      <c r="L19" s="83">
        <v>14252.661528896997</v>
      </c>
      <c r="M19" s="248">
        <f>+Sinclair!I18</f>
        <v>131.28403000000006</v>
      </c>
      <c r="N19" s="182"/>
      <c r="O19" s="83">
        <f>+Burton!I18</f>
        <v>3274.2254499999981</v>
      </c>
      <c r="P19" s="83">
        <v>3274.2254499999976</v>
      </c>
      <c r="Q19" s="112">
        <f t="shared" si="0"/>
        <v>68230.342989999961</v>
      </c>
      <c r="R19" s="112">
        <f t="shared" si="1"/>
        <v>49984.21253853161</v>
      </c>
      <c r="S19" s="13"/>
      <c r="T19" s="13"/>
      <c r="U19" s="53"/>
      <c r="Y19" s="14"/>
      <c r="Z19" s="13"/>
      <c r="AA19" s="13"/>
      <c r="AB19" s="13"/>
      <c r="AC19" s="51"/>
      <c r="AD19" s="51"/>
      <c r="AE19" s="51"/>
    </row>
    <row r="20" spans="1:32" s="11" customFormat="1" ht="20.100000000000001" customHeight="1" x14ac:dyDescent="0.25">
      <c r="A20" s="84">
        <v>2024</v>
      </c>
      <c r="B20" s="81">
        <v>44012</v>
      </c>
      <c r="C20" s="85"/>
      <c r="D20" s="85"/>
      <c r="E20" s="82">
        <f>+Tugalo!O19</f>
        <v>11649.717760000005</v>
      </c>
      <c r="F20" s="82">
        <f>Tugalo!P19</f>
        <v>11712.559191250039</v>
      </c>
      <c r="G20" s="82">
        <f>+Bartletts!O19</f>
        <v>18253.52527000002</v>
      </c>
      <c r="H20" s="82">
        <f>Bartletts!P19</f>
        <v>12223.68</v>
      </c>
      <c r="I20" s="82">
        <f>+Nacoochee!I19</f>
        <v>5120.6074700000017</v>
      </c>
      <c r="J20" s="88">
        <v>14051.399646404507</v>
      </c>
      <c r="K20" s="83">
        <f>+Oliver!O19</f>
        <v>6424.5803200000073</v>
      </c>
      <c r="L20" s="83">
        <v>11798.628157664431</v>
      </c>
      <c r="M20" s="248">
        <f>+Sinclair!I19</f>
        <v>328.80825000000004</v>
      </c>
      <c r="N20" s="182"/>
      <c r="O20" s="83">
        <f>+Burton!I19</f>
        <v>1111.1530900000005</v>
      </c>
      <c r="P20" s="83">
        <v>1111.1530900000002</v>
      </c>
      <c r="Q20" s="112">
        <f t="shared" si="0"/>
        <v>42888.392160000039</v>
      </c>
      <c r="R20" s="112">
        <f t="shared" si="1"/>
        <v>50897.420085318976</v>
      </c>
      <c r="S20" s="13"/>
      <c r="T20" s="13"/>
      <c r="U20" s="53"/>
      <c r="Y20" s="43"/>
      <c r="Z20" s="13"/>
      <c r="AA20" s="13"/>
      <c r="AB20" s="13"/>
      <c r="AC20" s="51"/>
      <c r="AD20" s="51"/>
      <c r="AE20" s="51"/>
    </row>
    <row r="21" spans="1:32" s="11" customFormat="1" ht="20.100000000000001" customHeight="1" x14ac:dyDescent="0.25">
      <c r="A21" s="84">
        <v>2024</v>
      </c>
      <c r="B21" s="81">
        <v>44196</v>
      </c>
      <c r="C21" s="85"/>
      <c r="D21" s="85"/>
      <c r="E21" s="82">
        <f>+Tugalo!O20</f>
        <v>14407.772850000003</v>
      </c>
      <c r="F21" s="82">
        <f>Tugalo!P20</f>
        <v>7964.6128120833282</v>
      </c>
      <c r="G21" s="82">
        <f>+Bartletts!O20</f>
        <v>22470.549259999985</v>
      </c>
      <c r="H21" s="82">
        <f>Bartletts!P20</f>
        <v>13242.32</v>
      </c>
      <c r="I21" s="82">
        <f>+Nacoochee!I20</f>
        <v>4931.0943400000024</v>
      </c>
      <c r="J21" s="88">
        <v>12805.653360796619</v>
      </c>
      <c r="K21" s="83">
        <f>+Oliver!O20</f>
        <v>19460.104329999995</v>
      </c>
      <c r="L21" s="83">
        <v>19768.214104719937</v>
      </c>
      <c r="M21" s="248">
        <f>+Sinclair!I20</f>
        <v>4936.5943500000003</v>
      </c>
      <c r="N21" s="182"/>
      <c r="O21" s="83">
        <f>+Burton!I20</f>
        <v>6059.8504200000043</v>
      </c>
      <c r="P21" s="83">
        <v>6059.8504200000007</v>
      </c>
      <c r="Q21" s="112">
        <f t="shared" si="0"/>
        <v>72265.965549999994</v>
      </c>
      <c r="R21" s="112">
        <f t="shared" si="1"/>
        <v>59840.650697599893</v>
      </c>
      <c r="S21" s="13"/>
      <c r="T21" s="13"/>
      <c r="U21" s="53"/>
      <c r="Y21" s="14"/>
      <c r="Z21" s="13"/>
      <c r="AA21" s="13"/>
      <c r="AB21" s="13"/>
      <c r="AC21" s="51"/>
      <c r="AD21" s="51"/>
      <c r="AE21" s="51"/>
    </row>
    <row r="22" spans="1:32" s="11" customFormat="1" ht="20.100000000000001" customHeight="1" x14ac:dyDescent="0.25">
      <c r="A22" s="84">
        <v>2025</v>
      </c>
      <c r="B22" s="81">
        <v>44012</v>
      </c>
      <c r="C22" s="85"/>
      <c r="D22" s="85"/>
      <c r="E22" s="82">
        <f>+Tugalo!O21</f>
        <v>9150.6338899999992</v>
      </c>
      <c r="F22" s="82">
        <f>Tugalo!P21</f>
        <v>10098.050087916643</v>
      </c>
      <c r="G22" s="82">
        <f>+Bartletts!O21</f>
        <v>19945.966979999987</v>
      </c>
      <c r="H22" s="82">
        <f>Bartletts!P21</f>
        <v>11814.674999999999</v>
      </c>
      <c r="I22" s="82">
        <f>+Nacoochee!I21</f>
        <v>5129.2079200000053</v>
      </c>
      <c r="J22" s="88">
        <v>6515.2895972786737</v>
      </c>
      <c r="K22" s="83">
        <f>+Oliver!O21</f>
        <v>12203.275540000015</v>
      </c>
      <c r="L22" s="83">
        <v>25355.239545763307</v>
      </c>
      <c r="M22" s="83">
        <f>+Sinclair!I21</f>
        <v>2328.7624000000014</v>
      </c>
      <c r="N22" s="182"/>
      <c r="O22" s="83">
        <f>+Burton!I21</f>
        <v>7779.609180000004</v>
      </c>
      <c r="P22" s="83">
        <v>9412.0555867575767</v>
      </c>
      <c r="Q22" s="112">
        <f t="shared" si="0"/>
        <v>56537.455910000019</v>
      </c>
      <c r="R22" s="112">
        <f t="shared" si="1"/>
        <v>63195.309817716203</v>
      </c>
      <c r="S22" s="13"/>
      <c r="T22" s="13"/>
      <c r="U22" s="53"/>
      <c r="W22" s="20"/>
      <c r="Y22" s="14"/>
      <c r="Z22" s="13"/>
      <c r="AA22" s="13"/>
      <c r="AB22" s="13"/>
      <c r="AC22" s="51"/>
      <c r="AD22" s="51"/>
      <c r="AE22" s="51"/>
    </row>
    <row r="23" spans="1:32" s="11" customFormat="1" ht="20.100000000000001" customHeight="1" x14ac:dyDescent="0.25">
      <c r="A23" s="84">
        <v>2025</v>
      </c>
      <c r="B23" s="81">
        <v>44196</v>
      </c>
      <c r="C23" s="85"/>
      <c r="D23" s="85"/>
      <c r="E23" s="82">
        <f>+Tugalo!O22</f>
        <v>0</v>
      </c>
      <c r="F23" s="82">
        <f>Tugalo!P22</f>
        <v>7670.0805454166639</v>
      </c>
      <c r="G23" s="82">
        <f>+Bartletts!O22</f>
        <v>0</v>
      </c>
      <c r="H23" s="82">
        <f>Bartletts!P22</f>
        <v>12996.1425</v>
      </c>
      <c r="I23" s="308">
        <f>+Tugalo!S22</f>
        <v>0</v>
      </c>
      <c r="J23" s="88">
        <v>465.186218808928</v>
      </c>
      <c r="K23" s="83">
        <f>+Oliver!O22</f>
        <v>0</v>
      </c>
      <c r="L23" s="83">
        <v>34223.673766761254</v>
      </c>
      <c r="M23" s="248">
        <f>+Sinclair!I22</f>
        <v>0</v>
      </c>
      <c r="N23" s="182"/>
      <c r="O23" s="83">
        <f>+Burton!I22</f>
        <v>0</v>
      </c>
      <c r="P23" s="83">
        <v>14976.723650627704</v>
      </c>
      <c r="Q23" s="112">
        <f t="shared" si="0"/>
        <v>0</v>
      </c>
      <c r="R23" s="112">
        <f t="shared" si="1"/>
        <v>70331.806681614544</v>
      </c>
      <c r="S23" s="13"/>
      <c r="T23" s="13"/>
      <c r="U23" s="53"/>
      <c r="W23" s="20"/>
      <c r="Y23" s="14"/>
      <c r="Z23" s="13"/>
      <c r="AA23" s="13"/>
      <c r="AB23" s="13"/>
      <c r="AC23" s="51"/>
      <c r="AD23" s="51"/>
      <c r="AE23" s="51"/>
    </row>
    <row r="24" spans="1:32" s="11" customFormat="1" ht="20.100000000000001" customHeight="1" x14ac:dyDescent="0.25">
      <c r="A24" s="84">
        <f>A22+1</f>
        <v>2026</v>
      </c>
      <c r="B24" s="81">
        <v>44012</v>
      </c>
      <c r="C24" s="85"/>
      <c r="D24" s="85"/>
      <c r="E24" s="82">
        <f>+Tugalo!O23</f>
        <v>0</v>
      </c>
      <c r="F24" s="82">
        <f>Tugalo!P23</f>
        <v>3.4752399999999999</v>
      </c>
      <c r="G24" s="82">
        <f>+Bartletts!O23</f>
        <v>0</v>
      </c>
      <c r="H24" s="82">
        <f>Bartletts!P23</f>
        <v>13695.000000000002</v>
      </c>
      <c r="I24" s="308">
        <f>+Tugalo!S23</f>
        <v>0</v>
      </c>
      <c r="J24" s="182"/>
      <c r="K24" s="83">
        <f>+Oliver!O23</f>
        <v>0</v>
      </c>
      <c r="L24" s="83">
        <v>17567.298781964964</v>
      </c>
      <c r="M24" s="248">
        <f>+Sinclair!I23</f>
        <v>0</v>
      </c>
      <c r="N24" s="182"/>
      <c r="O24" s="83">
        <f>+Burton!I23</f>
        <v>0</v>
      </c>
      <c r="P24" s="83">
        <v>9549.3487636363661</v>
      </c>
      <c r="Q24" s="112">
        <f t="shared" si="0"/>
        <v>0</v>
      </c>
      <c r="R24" s="112">
        <f t="shared" si="1"/>
        <v>40815.122785601328</v>
      </c>
      <c r="S24" s="13"/>
      <c r="T24" s="13"/>
      <c r="U24" s="53"/>
      <c r="W24" s="20"/>
      <c r="Y24" s="14"/>
      <c r="Z24" s="13"/>
      <c r="AA24" s="13"/>
      <c r="AB24" s="13"/>
      <c r="AC24" s="51"/>
      <c r="AD24" s="51"/>
      <c r="AE24" s="51"/>
    </row>
    <row r="25" spans="1:32" s="11" customFormat="1" ht="20.100000000000001" customHeight="1" x14ac:dyDescent="0.25">
      <c r="A25" s="84">
        <f>A23+1</f>
        <v>2026</v>
      </c>
      <c r="B25" s="81">
        <v>44196</v>
      </c>
      <c r="C25" s="85"/>
      <c r="D25" s="85"/>
      <c r="E25" s="85"/>
      <c r="F25" s="85"/>
      <c r="G25" s="82">
        <f>+Bartletts!O24</f>
        <v>0</v>
      </c>
      <c r="H25" s="82">
        <f>Bartletts!P24</f>
        <v>11205</v>
      </c>
      <c r="I25" s="308">
        <f>+Tugalo!S24</f>
        <v>0</v>
      </c>
      <c r="J25" s="182"/>
      <c r="K25" s="83">
        <f>+Oliver!O24</f>
        <v>0</v>
      </c>
      <c r="L25" s="83">
        <v>17230.565463083571</v>
      </c>
      <c r="M25" s="248">
        <f>+Sinclair!I24</f>
        <v>0</v>
      </c>
      <c r="N25" s="182"/>
      <c r="O25" s="83">
        <f>+Burton!I24</f>
        <v>0</v>
      </c>
      <c r="P25" s="83">
        <v>15656.986428528138</v>
      </c>
      <c r="Q25" s="112">
        <f t="shared" si="0"/>
        <v>0</v>
      </c>
      <c r="R25" s="112">
        <f t="shared" si="1"/>
        <v>44092.551891611707</v>
      </c>
      <c r="S25" s="13"/>
      <c r="T25" s="13"/>
      <c r="U25" s="53"/>
      <c r="W25" s="20"/>
      <c r="Y25" s="14"/>
      <c r="Z25" s="13"/>
      <c r="AA25" s="13"/>
      <c r="AB25" s="13"/>
      <c r="AC25" s="51"/>
      <c r="AD25" s="51"/>
      <c r="AE25" s="51"/>
    </row>
    <row r="26" spans="1:32" s="11" customFormat="1" ht="20.100000000000001" customHeight="1" x14ac:dyDescent="0.25">
      <c r="A26" s="84">
        <f t="shared" ref="A26:A27" si="2">A24+1</f>
        <v>2027</v>
      </c>
      <c r="B26" s="81">
        <v>44012</v>
      </c>
      <c r="C26" s="85"/>
      <c r="D26" s="85"/>
      <c r="E26" s="85"/>
      <c r="F26" s="85"/>
      <c r="G26" s="85"/>
      <c r="H26" s="85"/>
      <c r="I26" s="85"/>
      <c r="J26" s="182"/>
      <c r="K26" s="83">
        <f>+Oliver!O25</f>
        <v>0</v>
      </c>
      <c r="L26" s="83">
        <v>4233.2106104635395</v>
      </c>
      <c r="M26" s="182"/>
      <c r="N26" s="182"/>
      <c r="O26" s="83">
        <f>+Burton!I25</f>
        <v>0</v>
      </c>
      <c r="P26" s="83">
        <v>2495.0165904502146</v>
      </c>
      <c r="Q26" s="112">
        <f t="shared" si="0"/>
        <v>0</v>
      </c>
      <c r="R26" s="112">
        <f t="shared" si="1"/>
        <v>6728.2272009137541</v>
      </c>
      <c r="S26" s="13"/>
      <c r="T26" s="13"/>
      <c r="U26" s="53"/>
      <c r="W26" s="20"/>
      <c r="Y26" s="14"/>
      <c r="Z26" s="13"/>
      <c r="AA26" s="13"/>
      <c r="AB26" s="13"/>
      <c r="AC26" s="51"/>
      <c r="AD26" s="51"/>
      <c r="AE26" s="51"/>
    </row>
    <row r="27" spans="1:32" s="11" customFormat="1" ht="20.100000000000001" customHeight="1" thickBot="1" x14ac:dyDescent="0.3">
      <c r="A27" s="183">
        <f t="shared" si="2"/>
        <v>2027</v>
      </c>
      <c r="B27" s="184">
        <v>44196</v>
      </c>
      <c r="C27" s="185"/>
      <c r="D27" s="185"/>
      <c r="E27" s="185"/>
      <c r="F27" s="185"/>
      <c r="G27" s="185"/>
      <c r="H27" s="185"/>
      <c r="I27" s="185"/>
      <c r="J27" s="186"/>
      <c r="K27" s="187">
        <f>+Oliver!O26</f>
        <v>0</v>
      </c>
      <c r="L27" s="83">
        <v>0</v>
      </c>
      <c r="M27" s="186"/>
      <c r="N27" s="186"/>
      <c r="O27" s="187">
        <f>+Burton!I26</f>
        <v>0</v>
      </c>
      <c r="P27" s="83">
        <v>1910.9849000000017</v>
      </c>
      <c r="Q27" s="188">
        <f t="shared" si="0"/>
        <v>0</v>
      </c>
      <c r="R27" s="316">
        <f t="shared" si="1"/>
        <v>1910.9849000000017</v>
      </c>
      <c r="S27" s="284"/>
      <c r="T27" s="13"/>
      <c r="U27" s="53"/>
      <c r="W27" s="20"/>
      <c r="Y27" s="14"/>
      <c r="Z27" s="13"/>
      <c r="AA27" s="13"/>
      <c r="AB27" s="13"/>
      <c r="AC27" s="51"/>
      <c r="AD27" s="51"/>
      <c r="AE27" s="51"/>
    </row>
    <row r="28" spans="1:32" s="11" customFormat="1" ht="18.75" thickBot="1" x14ac:dyDescent="0.3">
      <c r="A28" s="351" t="s">
        <v>24</v>
      </c>
      <c r="B28" s="352"/>
      <c r="C28" s="89">
        <f t="shared" ref="C28:O28" si="3">SUM(C10:C27)</f>
        <v>47031.176729999999</v>
      </c>
      <c r="D28" s="89">
        <f t="shared" si="3"/>
        <v>48044.688019999994</v>
      </c>
      <c r="E28" s="89">
        <f t="shared" si="3"/>
        <v>121331.82698999997</v>
      </c>
      <c r="F28" s="89">
        <f t="shared" si="3"/>
        <v>115295.31678999997</v>
      </c>
      <c r="G28" s="89">
        <f t="shared" si="3"/>
        <v>136189.47878</v>
      </c>
      <c r="H28" s="89">
        <f t="shared" si="3"/>
        <v>144075.29331000001</v>
      </c>
      <c r="I28" s="89">
        <f t="shared" si="3"/>
        <v>30328.322749999996</v>
      </c>
      <c r="J28" s="89">
        <f t="shared" si="3"/>
        <v>51534.47099999999</v>
      </c>
      <c r="K28" s="189">
        <f t="shared" si="3"/>
        <v>60953.036350000024</v>
      </c>
      <c r="L28" s="189">
        <f t="shared" si="3"/>
        <v>153041.91073999999</v>
      </c>
      <c r="M28" s="189">
        <f t="shared" si="3"/>
        <v>8581.3551100000022</v>
      </c>
      <c r="N28" s="189">
        <f t="shared" si="3"/>
        <v>0</v>
      </c>
      <c r="O28" s="189">
        <f t="shared" si="3"/>
        <v>19676.996090000008</v>
      </c>
      <c r="P28" s="189">
        <f>SUM(P10:P27)</f>
        <v>65898.502829999998</v>
      </c>
      <c r="Q28" s="89">
        <f>C28+E28+G28+I28+K28+M28+O28</f>
        <v>424092.19280000002</v>
      </c>
      <c r="R28" s="89">
        <f>D28+F28+H28+J28+L28+N28+P28</f>
        <v>577890.18268999993</v>
      </c>
      <c r="S28" s="13"/>
      <c r="T28" s="13"/>
      <c r="U28" s="24"/>
      <c r="V28" s="25"/>
      <c r="Y28" s="59"/>
      <c r="Z28" s="14"/>
      <c r="AA28" s="13"/>
      <c r="AB28" s="13"/>
      <c r="AC28" s="13"/>
      <c r="AD28" s="51"/>
      <c r="AE28" s="51"/>
      <c r="AF28" s="51"/>
    </row>
    <row r="29" spans="1:32" s="11" customFormat="1" x14ac:dyDescent="0.2">
      <c r="B29" s="16"/>
      <c r="C29" s="17"/>
      <c r="D29" s="18"/>
      <c r="E29" s="17"/>
      <c r="F29" s="19"/>
      <c r="G29" s="17"/>
      <c r="H29" s="17"/>
      <c r="I29" s="13"/>
      <c r="J29" s="13"/>
      <c r="K29" s="13"/>
      <c r="Q29" s="59"/>
    </row>
    <row r="30" spans="1:32" s="11" customFormat="1" x14ac:dyDescent="0.2">
      <c r="A30" s="8" t="s">
        <v>25</v>
      </c>
      <c r="E30" s="37"/>
      <c r="F30" s="38"/>
      <c r="K30" s="15"/>
      <c r="Q30" s="59"/>
    </row>
    <row r="31" spans="1:32" ht="15" thickBot="1" x14ac:dyDescent="0.25">
      <c r="A31" s="6"/>
      <c r="D31" s="21"/>
      <c r="K31" s="22"/>
      <c r="L31" s="60"/>
      <c r="M31" s="60"/>
      <c r="N31" s="60"/>
      <c r="O31" s="60"/>
      <c r="P31" s="60"/>
      <c r="Q31" s="36"/>
    </row>
    <row r="32" spans="1:32" s="11" customFormat="1" ht="18.75" thickBot="1" x14ac:dyDescent="0.3">
      <c r="A32" s="339" t="s">
        <v>26</v>
      </c>
      <c r="B32" s="340"/>
      <c r="C32" s="340"/>
      <c r="D32" s="340"/>
      <c r="E32" s="340"/>
      <c r="F32" s="340"/>
      <c r="G32" s="340"/>
      <c r="H32" s="340"/>
      <c r="I32" s="340"/>
      <c r="J32" s="341"/>
      <c r="K32" s="15"/>
    </row>
    <row r="33" spans="1:11" s="11" customFormat="1" ht="23.25" customHeight="1" thickBot="1" x14ac:dyDescent="0.25">
      <c r="A33" s="61" t="s">
        <v>27</v>
      </c>
      <c r="B33" s="342"/>
      <c r="C33" s="343"/>
      <c r="D33" s="343"/>
      <c r="E33" s="343"/>
      <c r="F33" s="343"/>
      <c r="G33" s="343"/>
      <c r="H33" s="343"/>
      <c r="I33" s="343"/>
      <c r="J33" s="344"/>
      <c r="K33" s="15"/>
    </row>
    <row r="34" spans="1:11" s="11" customFormat="1" ht="23.25" customHeight="1" thickBot="1" x14ac:dyDescent="0.25">
      <c r="A34" s="61" t="s">
        <v>28</v>
      </c>
      <c r="B34" s="348"/>
      <c r="C34" s="349"/>
      <c r="D34" s="349"/>
      <c r="E34" s="349"/>
      <c r="F34" s="349"/>
      <c r="G34" s="349"/>
      <c r="H34" s="349"/>
      <c r="I34" s="349"/>
      <c r="J34" s="350"/>
      <c r="K34" s="15"/>
    </row>
    <row r="35" spans="1:11" s="11" customFormat="1" ht="23.25" customHeight="1" thickBot="1" x14ac:dyDescent="0.25">
      <c r="A35" s="61" t="s">
        <v>29</v>
      </c>
      <c r="B35" s="345"/>
      <c r="C35" s="346"/>
      <c r="D35" s="346"/>
      <c r="E35" s="346"/>
      <c r="F35" s="346"/>
      <c r="G35" s="346"/>
      <c r="H35" s="346"/>
      <c r="I35" s="346"/>
      <c r="J35" s="347"/>
      <c r="K35" s="15"/>
    </row>
    <row r="36" spans="1:11" ht="20.25" customHeight="1" x14ac:dyDescent="0.2">
      <c r="A36" s="62"/>
      <c r="B36" s="338"/>
      <c r="C36" s="338"/>
      <c r="D36" s="338"/>
      <c r="E36" s="338"/>
      <c r="F36" s="338"/>
      <c r="G36" s="338"/>
      <c r="H36" s="338"/>
      <c r="I36" s="338"/>
      <c r="J36" s="338"/>
      <c r="K36" s="22"/>
    </row>
    <row r="37" spans="1:11" x14ac:dyDescent="0.2">
      <c r="A37" s="1" t="s">
        <v>30</v>
      </c>
      <c r="K37" s="22"/>
    </row>
    <row r="38" spans="1:11" x14ac:dyDescent="0.2">
      <c r="A38" s="1" t="s">
        <v>31</v>
      </c>
      <c r="C38" s="216"/>
      <c r="K38" s="22"/>
    </row>
    <row r="39" spans="1:11" x14ac:dyDescent="0.2">
      <c r="K39" s="22"/>
    </row>
    <row r="40" spans="1:11" x14ac:dyDescent="0.2">
      <c r="C40" s="23"/>
      <c r="K40" s="22"/>
    </row>
    <row r="41" spans="1:11" x14ac:dyDescent="0.2">
      <c r="K41" s="22"/>
    </row>
    <row r="42" spans="1:11" x14ac:dyDescent="0.2">
      <c r="K42" s="22"/>
    </row>
    <row r="43" spans="1:11" x14ac:dyDescent="0.2">
      <c r="E43" s="44"/>
      <c r="K43" s="22"/>
    </row>
    <row r="44" spans="1:11" x14ac:dyDescent="0.2">
      <c r="K44" s="22"/>
    </row>
    <row r="45" spans="1:11" x14ac:dyDescent="0.2">
      <c r="K45" s="22"/>
    </row>
    <row r="46" spans="1:11" x14ac:dyDescent="0.2">
      <c r="K46" s="22"/>
    </row>
    <row r="47" spans="1:11" x14ac:dyDescent="0.2">
      <c r="K47" s="22"/>
    </row>
    <row r="48" spans="1:11" x14ac:dyDescent="0.2">
      <c r="K48" s="22"/>
    </row>
    <row r="49" spans="11:11" x14ac:dyDescent="0.2">
      <c r="K49" s="22"/>
    </row>
    <row r="50" spans="11:11" x14ac:dyDescent="0.2">
      <c r="K50" s="22"/>
    </row>
    <row r="51" spans="11:11" x14ac:dyDescent="0.2">
      <c r="K51" s="22"/>
    </row>
    <row r="52" spans="11:11" x14ac:dyDescent="0.2">
      <c r="K52" s="22"/>
    </row>
    <row r="53" spans="11:11" x14ac:dyDescent="0.2">
      <c r="K53" s="22"/>
    </row>
    <row r="54" spans="11:11" x14ac:dyDescent="0.2">
      <c r="K54" s="22"/>
    </row>
    <row r="55" spans="11:11" x14ac:dyDescent="0.2">
      <c r="K55" s="22"/>
    </row>
    <row r="56" spans="11:11" x14ac:dyDescent="0.2">
      <c r="K56" s="22"/>
    </row>
    <row r="57" spans="11:11" x14ac:dyDescent="0.2">
      <c r="K57" s="22"/>
    </row>
    <row r="58" spans="11:11" x14ac:dyDescent="0.2">
      <c r="K58" s="22"/>
    </row>
    <row r="59" spans="11:11" x14ac:dyDescent="0.2">
      <c r="K59" s="22"/>
    </row>
    <row r="60" spans="11:11" x14ac:dyDescent="0.2">
      <c r="K60" s="22"/>
    </row>
    <row r="61" spans="11:11" x14ac:dyDescent="0.2">
      <c r="K61" s="22"/>
    </row>
    <row r="62" spans="11:11" x14ac:dyDescent="0.2">
      <c r="K62" s="22"/>
    </row>
    <row r="63" spans="11:11" x14ac:dyDescent="0.2">
      <c r="K63" s="22"/>
    </row>
    <row r="64" spans="11:11" x14ac:dyDescent="0.2">
      <c r="K64" s="22"/>
    </row>
    <row r="65" spans="11:32" x14ac:dyDescent="0.2">
      <c r="K65" s="22"/>
    </row>
    <row r="66" spans="11:32" x14ac:dyDescent="0.2">
      <c r="K66" s="22"/>
    </row>
    <row r="67" spans="11:32" ht="18" x14ac:dyDescent="0.25">
      <c r="K67" s="22"/>
      <c r="AF67" s="181"/>
    </row>
  </sheetData>
  <mergeCells count="31">
    <mergeCell ref="A5:R5"/>
    <mergeCell ref="A1:R1"/>
    <mergeCell ref="A2:R2"/>
    <mergeCell ref="A3:R3"/>
    <mergeCell ref="A4:R4"/>
    <mergeCell ref="A28:B28"/>
    <mergeCell ref="I7:I9"/>
    <mergeCell ref="E7:E9"/>
    <mergeCell ref="C7:C9"/>
    <mergeCell ref="A7:A9"/>
    <mergeCell ref="B7:B9"/>
    <mergeCell ref="B36:J36"/>
    <mergeCell ref="A32:J32"/>
    <mergeCell ref="B33:J33"/>
    <mergeCell ref="B35:J35"/>
    <mergeCell ref="B34:J34"/>
    <mergeCell ref="C6:L6"/>
    <mergeCell ref="M6:P6"/>
    <mergeCell ref="R7:R9"/>
    <mergeCell ref="D7:D9"/>
    <mergeCell ref="F7:F9"/>
    <mergeCell ref="H7:H9"/>
    <mergeCell ref="J7:J9"/>
    <mergeCell ref="L7:L9"/>
    <mergeCell ref="K7:K9"/>
    <mergeCell ref="G7:G9"/>
    <mergeCell ref="Q7:Q9"/>
    <mergeCell ref="M7:M9"/>
    <mergeCell ref="N7:N9"/>
    <mergeCell ref="O7:O9"/>
    <mergeCell ref="P7:P9"/>
  </mergeCells>
  <printOptions horizontalCentered="1"/>
  <pageMargins left="0.67" right="0.65" top="0.78" bottom="0.75" header="0.52" footer="0.3"/>
  <pageSetup scale="31" fitToHeight="2" orientation="landscape" r:id="rId1"/>
  <headerFooter alignWithMargins="0">
    <oddHeader>&amp;R&amp;F</oddHeader>
  </headerFooter>
  <colBreaks count="1" manualBreakCount="1">
    <brk id="21" max="3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A25AB-3E89-4B85-9783-ECF1DC25D6BE}">
  <dimension ref="A1:E5"/>
  <sheetViews>
    <sheetView view="pageLayout" zoomScaleNormal="100" workbookViewId="0">
      <selection sqref="A1:E1"/>
    </sheetView>
  </sheetViews>
  <sheetFormatPr defaultRowHeight="12.75" x14ac:dyDescent="0.2"/>
  <cols>
    <col min="5" max="5" width="63.140625" customWidth="1"/>
  </cols>
  <sheetData>
    <row r="1" spans="1:5" ht="18" x14ac:dyDescent="0.2">
      <c r="A1" s="407" t="s">
        <v>444</v>
      </c>
      <c r="B1" s="407"/>
      <c r="C1" s="407"/>
      <c r="D1" s="407"/>
      <c r="E1" s="407"/>
    </row>
    <row r="2" spans="1:5" ht="18" x14ac:dyDescent="0.2">
      <c r="A2" s="408" t="s">
        <v>435</v>
      </c>
      <c r="B2" s="408"/>
      <c r="C2" s="408"/>
      <c r="D2" s="408"/>
      <c r="E2" s="408"/>
    </row>
    <row r="3" spans="1:5" ht="18" x14ac:dyDescent="0.25">
      <c r="A3" s="363" t="s">
        <v>1</v>
      </c>
      <c r="B3" s="361"/>
      <c r="C3" s="361"/>
      <c r="D3" s="361"/>
      <c r="E3" s="361"/>
    </row>
    <row r="5" spans="1:5" x14ac:dyDescent="0.2">
      <c r="B5" s="281" t="s">
        <v>436</v>
      </c>
    </row>
  </sheetData>
  <mergeCells count="3">
    <mergeCell ref="A1:E1"/>
    <mergeCell ref="A2:E2"/>
    <mergeCell ref="A3:E3"/>
  </mergeCells>
  <pageMargins left="0.67" right="0.65" top="0.78" bottom="0.75" header="0.52" footer="0.3"/>
  <pageSetup scale="31" orientation="portrait" r:id="rId1"/>
  <headerFooter alignWithMargins="0">
    <oddHeader>&amp;R&amp;F</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D0CF5-3EBD-4DEE-8E19-C1E81077473C}">
  <sheetPr>
    <tabColor rgb="FF92D050"/>
  </sheetPr>
  <dimension ref="A1:CR39"/>
  <sheetViews>
    <sheetView view="pageLayout" zoomScaleNormal="90" workbookViewId="0">
      <selection sqref="A1:L1"/>
    </sheetView>
  </sheetViews>
  <sheetFormatPr defaultColWidth="9.42578125" defaultRowHeight="12.75" x14ac:dyDescent="0.2"/>
  <cols>
    <col min="1" max="1" width="18.42578125" style="1" bestFit="1" customWidth="1"/>
    <col min="2" max="2" width="23.42578125" style="1" customWidth="1"/>
    <col min="3" max="8" width="16" style="1" customWidth="1"/>
    <col min="9" max="11" width="20.42578125" style="1" customWidth="1"/>
    <col min="12" max="12" width="9.5703125" style="1" customWidth="1"/>
    <col min="13" max="15" width="11.5703125" style="1" customWidth="1"/>
    <col min="16" max="16" width="11.5703125" style="1" bestFit="1" customWidth="1"/>
    <col min="17" max="21" width="9.42578125" style="1"/>
    <col min="22" max="22" width="17.5703125" style="1" bestFit="1" customWidth="1"/>
    <col min="23" max="23" width="19.42578125" style="1" bestFit="1" customWidth="1"/>
    <col min="24" max="25" width="15.42578125" style="1" bestFit="1" customWidth="1"/>
    <col min="26" max="16384" width="9.42578125" style="1"/>
  </cols>
  <sheetData>
    <row r="1" spans="1:96" ht="18" x14ac:dyDescent="0.25">
      <c r="A1" s="361" t="s">
        <v>444</v>
      </c>
      <c r="B1" s="361"/>
      <c r="C1" s="361"/>
      <c r="D1" s="361"/>
      <c r="E1" s="361"/>
      <c r="F1" s="361"/>
      <c r="G1" s="361"/>
      <c r="H1" s="361"/>
      <c r="I1" s="361"/>
      <c r="J1" s="361"/>
      <c r="K1" s="361"/>
      <c r="L1" s="361"/>
    </row>
    <row r="2" spans="1:96" ht="18" x14ac:dyDescent="0.25">
      <c r="A2" s="361" t="s">
        <v>0</v>
      </c>
      <c r="B2" s="361"/>
      <c r="C2" s="361"/>
      <c r="D2" s="361"/>
      <c r="E2" s="361"/>
      <c r="F2" s="361"/>
      <c r="G2" s="361"/>
      <c r="H2" s="361"/>
      <c r="I2" s="361"/>
      <c r="J2" s="361"/>
      <c r="K2" s="361"/>
      <c r="L2" s="361"/>
    </row>
    <row r="3" spans="1:96" ht="18" x14ac:dyDescent="0.25">
      <c r="A3" s="363" t="s">
        <v>1</v>
      </c>
      <c r="B3" s="361"/>
      <c r="C3" s="361"/>
      <c r="D3" s="361"/>
      <c r="E3" s="361"/>
      <c r="F3" s="361"/>
      <c r="G3" s="361"/>
      <c r="H3" s="361"/>
      <c r="I3" s="361"/>
      <c r="J3" s="361"/>
      <c r="K3" s="361"/>
      <c r="L3" s="361"/>
    </row>
    <row r="4" spans="1:96" ht="19.5" customHeight="1" x14ac:dyDescent="0.25">
      <c r="A4" s="361" t="s">
        <v>437</v>
      </c>
      <c r="B4" s="361"/>
      <c r="C4" s="361"/>
      <c r="D4" s="361"/>
      <c r="E4" s="361"/>
      <c r="F4" s="361"/>
      <c r="G4" s="361"/>
      <c r="H4" s="361"/>
      <c r="I4" s="361"/>
      <c r="J4" s="361"/>
      <c r="K4" s="361"/>
      <c r="L4" s="361"/>
    </row>
    <row r="5" spans="1:96" ht="13.5" thickBot="1" x14ac:dyDescent="0.25">
      <c r="A5" s="65"/>
      <c r="B5" s="65"/>
      <c r="C5" s="65"/>
      <c r="D5" s="65"/>
      <c r="E5" s="65"/>
      <c r="F5" s="65"/>
      <c r="G5" s="65"/>
      <c r="H5" s="67"/>
      <c r="I5" s="66"/>
      <c r="J5" s="66"/>
      <c r="K5" s="66"/>
      <c r="R5" s="11"/>
    </row>
    <row r="6" spans="1:96" ht="16.5" thickBot="1" x14ac:dyDescent="0.3">
      <c r="A6" s="367" t="s">
        <v>33</v>
      </c>
      <c r="B6" s="368"/>
      <c r="C6" s="368"/>
      <c r="D6" s="368"/>
      <c r="E6" s="368"/>
      <c r="F6" s="368"/>
      <c r="G6" s="368"/>
      <c r="H6" s="369"/>
      <c r="I6" s="66"/>
      <c r="J6" s="66"/>
      <c r="R6" s="11"/>
    </row>
    <row r="7" spans="1:96" s="11" customFormat="1" ht="12.75" customHeight="1" x14ac:dyDescent="0.2">
      <c r="A7" s="353" t="s">
        <v>6</v>
      </c>
      <c r="B7" s="356" t="s">
        <v>7</v>
      </c>
      <c r="C7" s="335" t="s">
        <v>34</v>
      </c>
      <c r="D7" s="370"/>
      <c r="E7" s="370"/>
      <c r="F7" s="335" t="s">
        <v>35</v>
      </c>
      <c r="G7" s="370"/>
      <c r="H7" s="371"/>
      <c r="I7" s="334" t="s">
        <v>38</v>
      </c>
      <c r="J7" s="331" t="s">
        <v>438</v>
      </c>
      <c r="K7" s="331" t="s">
        <v>40</v>
      </c>
      <c r="L7" s="331" t="s">
        <v>41</v>
      </c>
      <c r="M7" s="1"/>
      <c r="N7" s="1"/>
      <c r="O7" s="1"/>
    </row>
    <row r="8" spans="1:96" s="11" customFormat="1" ht="12.6" customHeight="1" x14ac:dyDescent="0.2">
      <c r="A8" s="354"/>
      <c r="B8" s="357"/>
      <c r="C8" s="336"/>
      <c r="D8" s="372"/>
      <c r="E8" s="372"/>
      <c r="F8" s="336"/>
      <c r="G8" s="372"/>
      <c r="H8" s="373"/>
      <c r="I8" s="332"/>
      <c r="J8" s="417"/>
      <c r="K8" s="332"/>
      <c r="L8" s="332"/>
      <c r="M8" s="13"/>
      <c r="N8" s="13"/>
      <c r="O8" s="13"/>
    </row>
    <row r="9" spans="1:96" s="11" customFormat="1" ht="28.5" customHeight="1" thickBot="1" x14ac:dyDescent="0.25">
      <c r="A9" s="355"/>
      <c r="B9" s="358"/>
      <c r="C9" s="337"/>
      <c r="D9" s="374"/>
      <c r="E9" s="374"/>
      <c r="F9" s="337"/>
      <c r="G9" s="374"/>
      <c r="H9" s="375"/>
      <c r="I9" s="333"/>
      <c r="J9" s="418"/>
      <c r="K9" s="333"/>
      <c r="L9" s="333"/>
      <c r="M9" s="13"/>
      <c r="N9" s="13"/>
      <c r="O9" s="13"/>
    </row>
    <row r="10" spans="1:96" s="11" customFormat="1" ht="28.5" customHeight="1" thickBot="1" x14ac:dyDescent="0.25">
      <c r="A10" s="163"/>
      <c r="B10" s="164"/>
      <c r="C10" s="162" t="s">
        <v>42</v>
      </c>
      <c r="D10" s="162" t="s">
        <v>43</v>
      </c>
      <c r="E10" s="162" t="s">
        <v>44</v>
      </c>
      <c r="F10" s="162" t="s">
        <v>42</v>
      </c>
      <c r="G10" s="162" t="s">
        <v>43</v>
      </c>
      <c r="H10" s="162" t="s">
        <v>44</v>
      </c>
      <c r="I10" s="162"/>
      <c r="J10" s="122"/>
      <c r="K10" s="162"/>
      <c r="L10" s="162"/>
      <c r="M10" s="13"/>
      <c r="N10" s="13"/>
      <c r="O10" s="13"/>
    </row>
    <row r="11" spans="1:96" s="11" customFormat="1" ht="17.100000000000001" customHeight="1" x14ac:dyDescent="0.2">
      <c r="A11" s="100">
        <v>2019</v>
      </c>
      <c r="B11" s="86">
        <v>43646</v>
      </c>
      <c r="C11" s="87">
        <v>0</v>
      </c>
      <c r="D11" s="87">
        <v>0</v>
      </c>
      <c r="E11" s="87">
        <v>0</v>
      </c>
      <c r="F11" s="87">
        <f>594260.65/1000</f>
        <v>594.26065000000006</v>
      </c>
      <c r="G11" s="87">
        <f>30836.63/1000</f>
        <v>30.83663</v>
      </c>
      <c r="H11" s="87">
        <f>(251671.33+165080)/1000</f>
        <v>416.75132999999994</v>
      </c>
      <c r="I11" s="132">
        <f>SUM(C11:H11)</f>
        <v>1041.84861</v>
      </c>
      <c r="J11" s="88">
        <v>260.41577000000001</v>
      </c>
      <c r="K11" s="118">
        <f t="shared" ref="K11:K16" si="0">(+I11-J11)/J11</f>
        <v>3.0007124376530649</v>
      </c>
      <c r="L11" s="192"/>
      <c r="M11" s="13"/>
      <c r="N11" s="13"/>
      <c r="O11" s="13"/>
    </row>
    <row r="12" spans="1:96" s="11" customFormat="1" ht="18.600000000000001" customHeight="1" x14ac:dyDescent="0.2">
      <c r="A12" s="100">
        <v>2019</v>
      </c>
      <c r="B12" s="86">
        <v>43830</v>
      </c>
      <c r="C12" s="87">
        <v>0</v>
      </c>
      <c r="D12" s="87">
        <v>0</v>
      </c>
      <c r="E12" s="87">
        <v>0</v>
      </c>
      <c r="F12" s="87">
        <f>1677529.62/1000</f>
        <v>1677.52962</v>
      </c>
      <c r="G12" s="87">
        <f>302964.88/1000</f>
        <v>302.96487999999999</v>
      </c>
      <c r="H12" s="87">
        <f>(1426732.91+22446)/1000</f>
        <v>1449.1789099999999</v>
      </c>
      <c r="I12" s="132">
        <f t="shared" ref="I12:I17" si="1">SUM(C12:H12)</f>
        <v>3429.6734099999999</v>
      </c>
      <c r="J12" s="88">
        <v>1848.0929600000002</v>
      </c>
      <c r="K12" s="118">
        <f t="shared" si="0"/>
        <v>0.8557905279829644</v>
      </c>
      <c r="L12" s="192"/>
      <c r="M12" s="13"/>
      <c r="N12" s="13"/>
      <c r="O12" s="13"/>
    </row>
    <row r="13" spans="1:96" ht="18" x14ac:dyDescent="0.25">
      <c r="A13" s="100">
        <v>2020</v>
      </c>
      <c r="B13" s="86">
        <v>44012</v>
      </c>
      <c r="C13" s="87">
        <f>1777510.84/1000</f>
        <v>1777.5108400000001</v>
      </c>
      <c r="D13" s="87">
        <v>0</v>
      </c>
      <c r="E13" s="87">
        <f>12461.27/1000</f>
        <v>12.461270000000001</v>
      </c>
      <c r="F13" s="87">
        <f>3948891.06/1000</f>
        <v>3948.8910599999999</v>
      </c>
      <c r="G13" s="87">
        <f>1582127.19/1000</f>
        <v>1582.1271899999999</v>
      </c>
      <c r="H13" s="87">
        <f>(2522809.79+11548)/1000</f>
        <v>2534.35779</v>
      </c>
      <c r="I13" s="132">
        <f t="shared" si="1"/>
        <v>9855.3481500000016</v>
      </c>
      <c r="J13" s="88">
        <v>10687.307809999997</v>
      </c>
      <c r="K13" s="118">
        <f t="shared" si="0"/>
        <v>-7.7845578586361985E-2</v>
      </c>
      <c r="L13" s="192"/>
      <c r="M13" s="13"/>
      <c r="N13" s="13"/>
      <c r="O13" s="13"/>
      <c r="P13" s="51"/>
    </row>
    <row r="14" spans="1:96" s="11" customFormat="1" ht="18" x14ac:dyDescent="0.25">
      <c r="A14" s="100">
        <v>2020</v>
      </c>
      <c r="B14" s="86">
        <v>44196</v>
      </c>
      <c r="C14" s="87">
        <f>972151.72/1000</f>
        <v>972.15171999999995</v>
      </c>
      <c r="D14" s="87">
        <f>1551008.21/1000</f>
        <v>1551.00821</v>
      </c>
      <c r="E14" s="87">
        <f>802155.72/1000</f>
        <v>802.15571999999997</v>
      </c>
      <c r="F14" s="87">
        <f>4512018.41/1000</f>
        <v>4512.0184100000006</v>
      </c>
      <c r="G14" s="87">
        <f>2647999.73/1000</f>
        <v>2647.99973</v>
      </c>
      <c r="H14" s="87">
        <f>(4812440.32+200026)/1000</f>
        <v>5012.4663200000005</v>
      </c>
      <c r="I14" s="132">
        <f t="shared" si="1"/>
        <v>15497.80011</v>
      </c>
      <c r="J14" s="88">
        <v>18624.391799999998</v>
      </c>
      <c r="K14" s="118">
        <f t="shared" si="0"/>
        <v>-0.16787617676728633</v>
      </c>
      <c r="L14" s="192"/>
      <c r="M14" s="13"/>
      <c r="N14" s="13"/>
      <c r="O14" s="13"/>
      <c r="P14" s="51"/>
    </row>
    <row r="15" spans="1:96" s="11" customFormat="1" ht="18" x14ac:dyDescent="0.25">
      <c r="A15" s="100">
        <v>2021</v>
      </c>
      <c r="B15" s="86">
        <v>44012</v>
      </c>
      <c r="C15" s="87">
        <v>3221.7034100000001</v>
      </c>
      <c r="D15" s="87">
        <v>1276.5857200000003</v>
      </c>
      <c r="E15" s="87">
        <f>(2665435.28+887.91)/1000</f>
        <v>2666.3231900000001</v>
      </c>
      <c r="F15" s="87">
        <v>498.39926000000116</v>
      </c>
      <c r="G15" s="87">
        <v>2.5906800000000403</v>
      </c>
      <c r="H15" s="87">
        <f>394562.01/1000</f>
        <v>394.56200999999999</v>
      </c>
      <c r="I15" s="132">
        <f t="shared" si="1"/>
        <v>8060.1642700000011</v>
      </c>
      <c r="J15" s="88">
        <v>8180.7575299999999</v>
      </c>
      <c r="K15" s="118">
        <f t="shared" si="0"/>
        <v>-1.4741087186335265E-2</v>
      </c>
      <c r="L15" s="192"/>
      <c r="M15" s="13"/>
      <c r="N15" s="13"/>
      <c r="O15" s="13"/>
      <c r="P15" s="51"/>
      <c r="Q15" s="13"/>
      <c r="R15" s="51"/>
      <c r="S15" s="51"/>
      <c r="T15" s="51"/>
      <c r="U15" s="13"/>
      <c r="V15" s="51"/>
      <c r="W15" s="51"/>
      <c r="X15" s="51"/>
      <c r="Y15" s="13"/>
      <c r="Z15" s="51"/>
      <c r="AA15" s="51"/>
      <c r="AB15" s="51"/>
      <c r="AC15" s="13"/>
      <c r="AD15" s="51"/>
      <c r="AE15" s="51"/>
      <c r="AF15" s="51"/>
      <c r="AG15" s="13"/>
      <c r="AH15" s="51"/>
      <c r="AI15" s="51"/>
      <c r="AJ15" s="51"/>
      <c r="AK15" s="13"/>
      <c r="AL15" s="51"/>
      <c r="AM15" s="51"/>
      <c r="AN15" s="51"/>
      <c r="AO15" s="13"/>
      <c r="AP15" s="51"/>
      <c r="AQ15" s="51"/>
      <c r="AR15" s="51"/>
      <c r="AS15" s="13"/>
      <c r="AT15" s="51"/>
      <c r="AU15" s="51"/>
      <c r="AV15" s="51"/>
      <c r="AW15" s="13"/>
      <c r="AX15" s="51"/>
      <c r="AY15" s="51"/>
      <c r="AZ15" s="51"/>
      <c r="BA15" s="13"/>
      <c r="BB15" s="51"/>
      <c r="BC15" s="51"/>
      <c r="BD15" s="51"/>
      <c r="BE15" s="13"/>
      <c r="BF15" s="51"/>
      <c r="BG15" s="51"/>
      <c r="BH15" s="51"/>
      <c r="BI15" s="13"/>
      <c r="BJ15" s="51"/>
      <c r="BK15" s="51"/>
      <c r="BL15" s="51"/>
      <c r="BM15" s="13"/>
      <c r="BN15" s="51"/>
      <c r="BO15" s="51"/>
      <c r="BP15" s="51"/>
      <c r="BQ15" s="13"/>
      <c r="BR15" s="51"/>
      <c r="BS15" s="51"/>
      <c r="BT15" s="51"/>
      <c r="BU15" s="13"/>
      <c r="BV15" s="51"/>
      <c r="BW15" s="51"/>
      <c r="BX15" s="51"/>
      <c r="BY15" s="13"/>
      <c r="BZ15" s="51"/>
      <c r="CA15" s="51"/>
      <c r="CB15" s="51"/>
      <c r="CC15" s="13"/>
      <c r="CD15" s="51"/>
      <c r="CE15" s="51"/>
      <c r="CF15" s="51"/>
      <c r="CG15" s="13"/>
      <c r="CH15" s="51"/>
      <c r="CI15" s="51"/>
      <c r="CJ15" s="51"/>
      <c r="CK15" s="13"/>
      <c r="CL15" s="51"/>
      <c r="CM15" s="51"/>
      <c r="CN15" s="51"/>
      <c r="CO15" s="13"/>
      <c r="CP15" s="51"/>
      <c r="CQ15" s="51"/>
      <c r="CR15" s="51"/>
    </row>
    <row r="16" spans="1:96" s="11" customFormat="1" ht="18" x14ac:dyDescent="0.25">
      <c r="A16" s="100">
        <v>2021</v>
      </c>
      <c r="B16" s="81">
        <v>44196</v>
      </c>
      <c r="C16" s="207">
        <v>4970.2956199999999</v>
      </c>
      <c r="D16" s="207">
        <v>920.52264000000002</v>
      </c>
      <c r="E16" s="207">
        <v>2069.6412100000002</v>
      </c>
      <c r="F16" s="207">
        <v>129.07230999999999</v>
      </c>
      <c r="G16" s="207">
        <v>0</v>
      </c>
      <c r="H16" s="207">
        <v>359.89746000000014</v>
      </c>
      <c r="I16" s="220">
        <f t="shared" si="1"/>
        <v>8449.4292399999995</v>
      </c>
      <c r="J16" s="88">
        <v>7693.7221499999996</v>
      </c>
      <c r="K16" s="118">
        <f t="shared" si="0"/>
        <v>9.8223860345671557E-2</v>
      </c>
      <c r="L16" s="192"/>
      <c r="M16" s="13"/>
      <c r="N16" s="13"/>
      <c r="O16" s="13"/>
      <c r="Q16" s="13"/>
      <c r="R16" s="51"/>
      <c r="S16" s="51"/>
      <c r="T16" s="51"/>
      <c r="U16" s="13"/>
      <c r="V16" s="51"/>
      <c r="W16" s="51"/>
      <c r="X16" s="51"/>
      <c r="Y16" s="13"/>
      <c r="Z16" s="51"/>
      <c r="AA16" s="51"/>
      <c r="AB16" s="51"/>
      <c r="AC16" s="13"/>
      <c r="AD16" s="51"/>
      <c r="AE16" s="51"/>
      <c r="AF16" s="51"/>
      <c r="AG16" s="13"/>
      <c r="AH16" s="51"/>
      <c r="AI16" s="51"/>
      <c r="AJ16" s="51"/>
      <c r="AK16" s="13"/>
      <c r="AL16" s="51"/>
      <c r="AM16" s="51"/>
      <c r="AN16" s="51"/>
      <c r="AO16" s="13"/>
      <c r="AP16" s="51"/>
      <c r="AQ16" s="51"/>
      <c r="AR16" s="51"/>
      <c r="AS16" s="13"/>
      <c r="AT16" s="51"/>
      <c r="AU16" s="51"/>
      <c r="AV16" s="51"/>
      <c r="AW16" s="13"/>
      <c r="AX16" s="51"/>
      <c r="AY16" s="51"/>
      <c r="AZ16" s="51"/>
      <c r="BA16" s="13"/>
      <c r="BB16" s="51"/>
      <c r="BC16" s="51"/>
      <c r="BD16" s="51"/>
      <c r="BE16" s="13"/>
      <c r="BF16" s="51"/>
      <c r="BG16" s="51"/>
      <c r="BH16" s="51"/>
      <c r="BI16" s="13"/>
      <c r="BJ16" s="51"/>
      <c r="BK16" s="51"/>
      <c r="BL16" s="51"/>
      <c r="BM16" s="13"/>
      <c r="BN16" s="51"/>
      <c r="BO16" s="51"/>
      <c r="BP16" s="51"/>
      <c r="BQ16" s="13"/>
      <c r="BR16" s="51"/>
      <c r="BS16" s="51"/>
      <c r="BT16" s="51"/>
      <c r="BU16" s="13"/>
      <c r="BV16" s="51"/>
      <c r="BW16" s="51"/>
      <c r="BX16" s="51"/>
      <c r="BY16" s="13"/>
      <c r="BZ16" s="51"/>
      <c r="CA16" s="51"/>
      <c r="CB16" s="51"/>
      <c r="CC16" s="13"/>
      <c r="CD16" s="51"/>
      <c r="CE16" s="51"/>
      <c r="CF16" s="51"/>
      <c r="CG16" s="13"/>
      <c r="CH16" s="51"/>
      <c r="CI16" s="51"/>
      <c r="CJ16" s="51"/>
      <c r="CK16" s="13"/>
      <c r="CL16" s="51"/>
      <c r="CM16" s="51"/>
      <c r="CN16" s="51"/>
      <c r="CO16" s="13"/>
      <c r="CP16" s="51"/>
      <c r="CQ16" s="51"/>
      <c r="CR16" s="51"/>
    </row>
    <row r="17" spans="1:96" s="134" customFormat="1" ht="18" x14ac:dyDescent="0.25">
      <c r="A17" s="133">
        <v>2022</v>
      </c>
      <c r="B17" s="219">
        <v>44012</v>
      </c>
      <c r="C17" s="207">
        <v>564.16073999999878</v>
      </c>
      <c r="D17" s="209">
        <v>27.735209999999991</v>
      </c>
      <c r="E17" s="209">
        <v>91.852469999999983</v>
      </c>
      <c r="F17" s="209">
        <v>191.73451</v>
      </c>
      <c r="G17" s="209">
        <v>0</v>
      </c>
      <c r="H17" s="209">
        <v>-12.1495</v>
      </c>
      <c r="I17" s="257">
        <f t="shared" si="1"/>
        <v>863.33342999999877</v>
      </c>
      <c r="J17" s="221">
        <v>750</v>
      </c>
      <c r="K17" s="118">
        <f>(+I17-J17)/J17</f>
        <v>0.15111123999999837</v>
      </c>
      <c r="L17" s="192"/>
      <c r="M17" s="13"/>
      <c r="N17" s="13"/>
      <c r="O17" s="13"/>
      <c r="P17" s="5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row>
    <row r="18" spans="1:96" s="134" customFormat="1" ht="18.75" thickBot="1" x14ac:dyDescent="0.25">
      <c r="A18" s="100">
        <v>2022</v>
      </c>
      <c r="B18" s="81">
        <v>44196</v>
      </c>
      <c r="C18" s="207">
        <v>-151.20728000000003</v>
      </c>
      <c r="D18" s="207">
        <v>-19.104209999999995</v>
      </c>
      <c r="E18" s="207">
        <v>3.3007899999999819</v>
      </c>
      <c r="F18" s="207">
        <v>0.590210000000016</v>
      </c>
      <c r="G18" s="207">
        <v>0</v>
      </c>
      <c r="H18" s="207">
        <v>0</v>
      </c>
      <c r="I18" s="208">
        <f>SUM(C18:H18)</f>
        <v>-166.42049000000003</v>
      </c>
      <c r="J18" s="221">
        <v>0</v>
      </c>
      <c r="K18" s="118" t="s">
        <v>114</v>
      </c>
      <c r="L18" s="218" t="s">
        <v>28</v>
      </c>
      <c r="M18" s="263"/>
      <c r="N18" s="264"/>
      <c r="O18" s="264"/>
      <c r="P18" s="264"/>
      <c r="Q18" s="264"/>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row>
    <row r="19" spans="1:96" s="11" customFormat="1" ht="18.75" thickBot="1" x14ac:dyDescent="0.3">
      <c r="A19" s="351" t="s">
        <v>24</v>
      </c>
      <c r="B19" s="416"/>
      <c r="C19" s="189">
        <f t="shared" ref="C19:I19" si="2">SUM(C11:C18)</f>
        <v>11354.615049999999</v>
      </c>
      <c r="D19" s="189">
        <f t="shared" si="2"/>
        <v>3756.74757</v>
      </c>
      <c r="E19" s="189">
        <f t="shared" si="2"/>
        <v>5645.7346500000003</v>
      </c>
      <c r="F19" s="189">
        <f t="shared" si="2"/>
        <v>11552.496030000002</v>
      </c>
      <c r="G19" s="189">
        <f t="shared" si="2"/>
        <v>4566.5191100000002</v>
      </c>
      <c r="H19" s="89">
        <f t="shared" si="2"/>
        <v>10155.064319999999</v>
      </c>
      <c r="I19" s="89">
        <f t="shared" si="2"/>
        <v>47031.176729999999</v>
      </c>
      <c r="J19" s="89">
        <f t="shared" ref="J19" si="3">SUM(J11:J18)</f>
        <v>48044.688019999994</v>
      </c>
      <c r="K19" s="119">
        <f>(I19-J19)/J19</f>
        <v>-2.1095178921301173E-2</v>
      </c>
      <c r="L19" s="191" t="s">
        <v>27</v>
      </c>
      <c r="M19" s="263"/>
      <c r="N19" s="264"/>
      <c r="O19" s="264"/>
      <c r="P19" s="264"/>
      <c r="Q19" s="264"/>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row>
    <row r="20" spans="1:96" s="11" customFormat="1" ht="18" customHeight="1" x14ac:dyDescent="0.25">
      <c r="B20" s="16"/>
      <c r="C20" s="17"/>
      <c r="D20" s="17"/>
      <c r="E20" s="17"/>
      <c r="F20" s="17"/>
      <c r="G20" s="18"/>
      <c r="H20" s="370"/>
      <c r="I20" s="370"/>
      <c r="J20" s="265"/>
      <c r="L20" s="51"/>
      <c r="M20" s="284"/>
      <c r="N20" s="13"/>
      <c r="O20" s="13"/>
      <c r="P20" s="51"/>
    </row>
    <row r="21" spans="1:96" s="11" customFormat="1" ht="18" x14ac:dyDescent="0.25">
      <c r="A21" s="8" t="s">
        <v>25</v>
      </c>
      <c r="I21" s="38"/>
      <c r="J21" s="313"/>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row>
    <row r="22" spans="1:96" ht="13.5" customHeight="1" thickBot="1" x14ac:dyDescent="0.25">
      <c r="C22" s="23"/>
      <c r="D22" s="23"/>
      <c r="E22" s="23"/>
      <c r="F22" s="23"/>
      <c r="J22" s="11"/>
      <c r="K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row>
    <row r="23" spans="1:96" ht="18.75" customHeight="1" thickBot="1" x14ac:dyDescent="0.3">
      <c r="A23" s="410" t="s">
        <v>26</v>
      </c>
      <c r="B23" s="411"/>
      <c r="C23" s="411"/>
      <c r="D23" s="411"/>
      <c r="E23" s="411"/>
      <c r="F23" s="411"/>
      <c r="G23" s="411"/>
      <c r="H23" s="411"/>
      <c r="I23" s="411"/>
      <c r="J23" s="411"/>
      <c r="K23" s="411"/>
      <c r="L23" s="412"/>
      <c r="Q23" s="13"/>
      <c r="R23" s="51"/>
      <c r="S23" s="51"/>
      <c r="T23" s="51"/>
      <c r="U23" s="13"/>
      <c r="V23" s="51"/>
      <c r="W23" s="51"/>
      <c r="X23" s="51"/>
      <c r="Y23" s="13"/>
      <c r="Z23" s="51"/>
      <c r="AA23" s="51"/>
      <c r="AB23" s="51"/>
      <c r="AC23" s="13"/>
      <c r="AD23" s="51"/>
      <c r="AE23" s="51"/>
      <c r="AF23" s="51"/>
      <c r="AG23" s="13"/>
      <c r="AH23" s="51"/>
      <c r="AI23" s="51"/>
      <c r="AJ23" s="51"/>
      <c r="AK23" s="13"/>
      <c r="AL23" s="51"/>
      <c r="AM23" s="51"/>
      <c r="AN23" s="51"/>
      <c r="AO23" s="13"/>
      <c r="AP23" s="51"/>
      <c r="AQ23" s="51"/>
      <c r="AR23" s="51"/>
      <c r="AS23" s="13"/>
      <c r="AT23" s="51"/>
      <c r="AU23" s="51"/>
      <c r="AV23" s="51"/>
      <c r="AW23" s="13"/>
      <c r="AX23" s="51"/>
      <c r="AY23" s="51"/>
      <c r="AZ23" s="51"/>
      <c r="BA23" s="13"/>
      <c r="BB23" s="51"/>
      <c r="BC23" s="51"/>
      <c r="BD23" s="51"/>
      <c r="BE23" s="13"/>
      <c r="BF23" s="51"/>
      <c r="BG23" s="51"/>
      <c r="BH23" s="51"/>
      <c r="BI23" s="13"/>
      <c r="BJ23" s="51"/>
      <c r="BK23" s="51"/>
      <c r="BL23" s="51"/>
      <c r="BM23" s="13"/>
      <c r="BN23" s="51"/>
      <c r="BO23" s="51"/>
      <c r="BP23" s="51"/>
      <c r="BQ23" s="13"/>
      <c r="BR23" s="51"/>
      <c r="BS23" s="51"/>
      <c r="BT23" s="51"/>
      <c r="BU23" s="13"/>
      <c r="BV23" s="51"/>
      <c r="BW23" s="51"/>
      <c r="BX23" s="51"/>
      <c r="BY23" s="13"/>
      <c r="BZ23" s="51"/>
      <c r="CA23" s="51"/>
      <c r="CB23" s="51"/>
      <c r="CC23" s="13"/>
      <c r="CD23" s="51"/>
      <c r="CE23" s="51"/>
      <c r="CF23" s="51"/>
      <c r="CG23" s="13"/>
      <c r="CH23" s="51"/>
      <c r="CI23" s="51"/>
      <c r="CJ23" s="51"/>
      <c r="CK23" s="13"/>
      <c r="CL23" s="51"/>
      <c r="CM23" s="51"/>
      <c r="CN23" s="51"/>
      <c r="CO23" s="13"/>
      <c r="CP23" s="51"/>
      <c r="CQ23" s="51"/>
      <c r="CR23" s="51"/>
    </row>
    <row r="24" spans="1:96" ht="18.75" customHeight="1" thickBot="1" x14ac:dyDescent="0.3">
      <c r="A24" s="190" t="s">
        <v>27</v>
      </c>
      <c r="B24" s="413" t="s">
        <v>439</v>
      </c>
      <c r="C24" s="414"/>
      <c r="D24" s="414"/>
      <c r="E24" s="414"/>
      <c r="F24" s="414"/>
      <c r="G24" s="414"/>
      <c r="H24" s="414"/>
      <c r="I24" s="414"/>
      <c r="J24" s="414"/>
      <c r="K24" s="414"/>
      <c r="L24" s="415"/>
      <c r="Q24" s="13"/>
      <c r="R24" s="51"/>
      <c r="S24" s="51"/>
      <c r="T24" s="51"/>
      <c r="U24" s="13"/>
      <c r="V24" s="51"/>
      <c r="W24" s="51"/>
      <c r="X24" s="51"/>
      <c r="Y24" s="13"/>
      <c r="Z24" s="51"/>
      <c r="AA24" s="51"/>
      <c r="AB24" s="51"/>
      <c r="AC24" s="13"/>
      <c r="AD24" s="51"/>
      <c r="AE24" s="51"/>
      <c r="AF24" s="51"/>
      <c r="AG24" s="13"/>
      <c r="AH24" s="51"/>
      <c r="AI24" s="51"/>
      <c r="AJ24" s="51"/>
      <c r="AK24" s="13"/>
      <c r="AL24" s="51"/>
      <c r="AM24" s="51"/>
      <c r="AN24" s="51"/>
      <c r="AO24" s="13"/>
      <c r="AP24" s="51"/>
      <c r="AQ24" s="51"/>
      <c r="AR24" s="51"/>
      <c r="AS24" s="13"/>
      <c r="AT24" s="51"/>
      <c r="AU24" s="51"/>
      <c r="AV24" s="51"/>
      <c r="AW24" s="13"/>
      <c r="AX24" s="51"/>
      <c r="AY24" s="51"/>
      <c r="AZ24" s="51"/>
      <c r="BA24" s="13"/>
      <c r="BB24" s="51"/>
      <c r="BC24" s="51"/>
      <c r="BD24" s="51"/>
      <c r="BE24" s="13"/>
      <c r="BF24" s="51"/>
      <c r="BG24" s="51"/>
      <c r="BH24" s="51"/>
      <c r="BI24" s="13"/>
      <c r="BJ24" s="51"/>
      <c r="BK24" s="51"/>
      <c r="BL24" s="51"/>
      <c r="BM24" s="13"/>
      <c r="BN24" s="51"/>
      <c r="BO24" s="51"/>
      <c r="BP24" s="51"/>
      <c r="BQ24" s="13"/>
      <c r="BR24" s="51"/>
      <c r="BS24" s="51"/>
      <c r="BT24" s="51"/>
      <c r="BU24" s="13"/>
      <c r="BV24" s="51"/>
      <c r="BW24" s="51"/>
      <c r="BX24" s="51"/>
      <c r="BY24" s="13"/>
      <c r="BZ24" s="51"/>
      <c r="CA24" s="51"/>
      <c r="CB24" s="51"/>
      <c r="CC24" s="13"/>
      <c r="CD24" s="51"/>
      <c r="CE24" s="51"/>
      <c r="CF24" s="51"/>
      <c r="CG24" s="13"/>
      <c r="CH24" s="51"/>
      <c r="CI24" s="51"/>
      <c r="CJ24" s="51"/>
      <c r="CK24" s="13"/>
      <c r="CL24" s="51"/>
      <c r="CM24" s="51"/>
      <c r="CN24" s="51"/>
      <c r="CO24" s="13"/>
      <c r="CP24" s="51"/>
      <c r="CQ24" s="51"/>
      <c r="CR24" s="51"/>
    </row>
    <row r="25" spans="1:96" ht="15.75" thickBot="1" x14ac:dyDescent="0.25">
      <c r="A25" s="190" t="s">
        <v>28</v>
      </c>
      <c r="B25" s="413" t="s">
        <v>57</v>
      </c>
      <c r="C25" s="414"/>
      <c r="D25" s="414"/>
      <c r="E25" s="414"/>
      <c r="F25" s="414"/>
      <c r="G25" s="414"/>
      <c r="H25" s="414"/>
      <c r="I25" s="414"/>
      <c r="J25" s="414"/>
      <c r="K25" s="414"/>
      <c r="L25" s="415"/>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row>
    <row r="26" spans="1:96" ht="15.75" thickBot="1" x14ac:dyDescent="0.25">
      <c r="A26" s="190" t="s">
        <v>29</v>
      </c>
      <c r="B26" s="413"/>
      <c r="C26" s="414"/>
      <c r="D26" s="414"/>
      <c r="E26" s="414"/>
      <c r="F26" s="414"/>
      <c r="G26" s="414"/>
      <c r="H26" s="414"/>
      <c r="I26" s="414"/>
      <c r="J26" s="414"/>
      <c r="K26" s="414"/>
      <c r="L26" s="415"/>
    </row>
    <row r="28" spans="1:96" x14ac:dyDescent="0.2">
      <c r="A28" s="1" t="s">
        <v>51</v>
      </c>
      <c r="I28" s="266"/>
    </row>
    <row r="29" spans="1:96" x14ac:dyDescent="0.2">
      <c r="A29" s="1" t="s">
        <v>440</v>
      </c>
    </row>
    <row r="30" spans="1:96" x14ac:dyDescent="0.2">
      <c r="A30" s="1" t="s">
        <v>441</v>
      </c>
    </row>
    <row r="31" spans="1:96" x14ac:dyDescent="0.2">
      <c r="A31" s="1" t="s">
        <v>442</v>
      </c>
    </row>
    <row r="32" spans="1:96" x14ac:dyDescent="0.2">
      <c r="A32" s="409" t="s">
        <v>443</v>
      </c>
      <c r="B32" s="409"/>
      <c r="C32" s="409"/>
      <c r="D32" s="409"/>
      <c r="E32" s="409"/>
      <c r="F32" s="409"/>
      <c r="G32" s="409"/>
      <c r="H32" s="409"/>
      <c r="I32" s="409"/>
      <c r="J32" s="409"/>
      <c r="K32" s="409"/>
      <c r="L32" s="409"/>
    </row>
    <row r="33" spans="1:96" x14ac:dyDescent="0.2">
      <c r="A33" s="409"/>
      <c r="B33" s="409"/>
      <c r="C33" s="409"/>
      <c r="D33" s="409"/>
      <c r="E33" s="409"/>
      <c r="F33" s="409"/>
      <c r="G33" s="409"/>
      <c r="H33" s="409"/>
      <c r="I33" s="409"/>
      <c r="J33" s="409"/>
      <c r="K33" s="409"/>
      <c r="L33" s="409"/>
    </row>
    <row r="34" spans="1:96" x14ac:dyDescent="0.2">
      <c r="L34" s="11"/>
    </row>
    <row r="36" spans="1:96" x14ac:dyDescent="0.2">
      <c r="J36" s="11"/>
    </row>
    <row r="39" spans="1:96" ht="15" x14ac:dyDescent="0.2">
      <c r="L39" s="168"/>
      <c r="CR39" s="199"/>
    </row>
  </sheetData>
  <mergeCells count="20">
    <mergeCell ref="A32:L33"/>
    <mergeCell ref="A23:L23"/>
    <mergeCell ref="A6:H6"/>
    <mergeCell ref="A4:L4"/>
    <mergeCell ref="B26:L26"/>
    <mergeCell ref="I7:I9"/>
    <mergeCell ref="A19:B19"/>
    <mergeCell ref="A7:A9"/>
    <mergeCell ref="B7:B9"/>
    <mergeCell ref="C7:E9"/>
    <mergeCell ref="F7:H9"/>
    <mergeCell ref="B24:L24"/>
    <mergeCell ref="B25:L25"/>
    <mergeCell ref="H20:I20"/>
    <mergeCell ref="J7:J9"/>
    <mergeCell ref="A1:L1"/>
    <mergeCell ref="A2:L2"/>
    <mergeCell ref="A3:L3"/>
    <mergeCell ref="K7:K9"/>
    <mergeCell ref="L7:L9"/>
  </mergeCells>
  <printOptions horizontalCentered="1"/>
  <pageMargins left="0.67" right="0.65" top="0.78" bottom="0.75" header="0.52" footer="0.3"/>
  <pageSetup scale="31" fitToHeight="2" orientation="landscape" r:id="rId1"/>
  <headerFooter alignWithMargins="0">
    <oddHeader>&amp;R&amp;F</oddHeader>
  </headerFooter>
  <ignoredErrors>
    <ignoredError sqref="I16:I1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8D115-BF8B-4938-B78F-B987E64125BC}">
  <dimension ref="A1:AB60"/>
  <sheetViews>
    <sheetView view="pageLayout" zoomScaleNormal="80" workbookViewId="0">
      <selection sqref="A1:Q1"/>
    </sheetView>
  </sheetViews>
  <sheetFormatPr defaultColWidth="9.42578125" defaultRowHeight="12.75" x14ac:dyDescent="0.2"/>
  <cols>
    <col min="1" max="1" width="18.42578125" style="1" bestFit="1" customWidth="1"/>
    <col min="2" max="2" width="23.42578125" style="1" customWidth="1"/>
    <col min="3" max="8" width="15.5703125" style="1" customWidth="1"/>
    <col min="9" max="14" width="16.5703125" style="1" customWidth="1"/>
    <col min="15" max="17" width="21.42578125" style="1" customWidth="1"/>
    <col min="18" max="18" width="13.42578125" style="1" customWidth="1"/>
    <col min="19" max="19" width="14.42578125" style="1" bestFit="1" customWidth="1"/>
    <col min="20" max="20" width="11.42578125" style="1" bestFit="1" customWidth="1"/>
    <col min="21" max="21" width="10.42578125" style="1" bestFit="1" customWidth="1"/>
    <col min="22" max="22" width="12.5703125" style="1" bestFit="1" customWidth="1"/>
    <col min="23" max="23" width="11.5703125" style="1" bestFit="1" customWidth="1"/>
    <col min="24" max="24" width="10.42578125" style="1" bestFit="1" customWidth="1"/>
    <col min="25" max="25" width="11.5703125" style="1" bestFit="1" customWidth="1"/>
    <col min="26" max="30" width="9.42578125" style="1"/>
    <col min="31" max="31" width="17.5703125" style="1" bestFit="1" customWidth="1"/>
    <col min="32" max="32" width="19.42578125" style="1" bestFit="1" customWidth="1"/>
    <col min="33" max="34" width="15.42578125" style="1" bestFit="1" customWidth="1"/>
    <col min="35" max="16384" width="9.42578125" style="1"/>
  </cols>
  <sheetData>
    <row r="1" spans="1:27" ht="18" x14ac:dyDescent="0.25">
      <c r="A1" s="361" t="s">
        <v>444</v>
      </c>
      <c r="B1" s="361"/>
      <c r="C1" s="361"/>
      <c r="D1" s="361"/>
      <c r="E1" s="361"/>
      <c r="F1" s="361"/>
      <c r="G1" s="361"/>
      <c r="H1" s="361"/>
      <c r="I1" s="361"/>
      <c r="J1" s="361"/>
      <c r="K1" s="361"/>
      <c r="L1" s="361"/>
      <c r="M1" s="361"/>
      <c r="N1" s="361"/>
      <c r="O1" s="361"/>
      <c r="P1" s="361"/>
      <c r="Q1" s="361"/>
    </row>
    <row r="2" spans="1:27" ht="18" x14ac:dyDescent="0.25">
      <c r="A2" s="361" t="s">
        <v>0</v>
      </c>
      <c r="B2" s="361"/>
      <c r="C2" s="361"/>
      <c r="D2" s="361"/>
      <c r="E2" s="361"/>
      <c r="F2" s="361"/>
      <c r="G2" s="361"/>
      <c r="H2" s="361"/>
      <c r="I2" s="361"/>
      <c r="J2" s="361"/>
      <c r="K2" s="361"/>
      <c r="L2" s="361"/>
      <c r="M2" s="361"/>
      <c r="N2" s="361"/>
      <c r="O2" s="361"/>
      <c r="P2" s="361"/>
      <c r="Q2" s="361"/>
    </row>
    <row r="3" spans="1:27" ht="18" x14ac:dyDescent="0.25">
      <c r="A3" s="363" t="s">
        <v>1</v>
      </c>
      <c r="B3" s="361"/>
      <c r="C3" s="361"/>
      <c r="D3" s="361"/>
      <c r="E3" s="361"/>
      <c r="F3" s="361"/>
      <c r="G3" s="361"/>
      <c r="H3" s="361"/>
      <c r="I3" s="361"/>
      <c r="J3" s="361"/>
      <c r="K3" s="361"/>
      <c r="L3" s="361"/>
      <c r="M3" s="361"/>
      <c r="N3" s="361"/>
      <c r="O3" s="361"/>
      <c r="P3" s="361"/>
      <c r="Q3" s="361"/>
    </row>
    <row r="4" spans="1:27" ht="19.5" customHeight="1" x14ac:dyDescent="0.25">
      <c r="A4" s="361" t="s">
        <v>32</v>
      </c>
      <c r="B4" s="361"/>
      <c r="C4" s="361"/>
      <c r="D4" s="361"/>
      <c r="E4" s="361"/>
      <c r="F4" s="361"/>
      <c r="G4" s="361"/>
      <c r="H4" s="361"/>
      <c r="I4" s="361"/>
      <c r="J4" s="361"/>
      <c r="K4" s="361"/>
      <c r="L4" s="361"/>
      <c r="M4" s="361"/>
      <c r="N4" s="361"/>
      <c r="O4" s="361"/>
      <c r="P4" s="361"/>
      <c r="Q4" s="361"/>
    </row>
    <row r="5" spans="1:27" ht="13.5" thickBot="1" x14ac:dyDescent="0.25">
      <c r="A5" s="65"/>
      <c r="B5" s="65"/>
      <c r="C5" s="65"/>
      <c r="D5" s="65"/>
      <c r="E5" s="65"/>
      <c r="F5" s="65"/>
      <c r="G5" s="65"/>
      <c r="H5" s="65"/>
      <c r="I5" s="65"/>
      <c r="J5" s="10"/>
      <c r="K5" s="10"/>
      <c r="L5" s="10"/>
      <c r="M5" s="10"/>
    </row>
    <row r="6" spans="1:27" ht="16.5" thickBot="1" x14ac:dyDescent="0.3">
      <c r="A6" s="367" t="s">
        <v>33</v>
      </c>
      <c r="B6" s="368"/>
      <c r="C6" s="368"/>
      <c r="D6" s="368"/>
      <c r="E6" s="368"/>
      <c r="F6" s="368"/>
      <c r="G6" s="368"/>
      <c r="H6" s="368"/>
      <c r="I6" s="368"/>
      <c r="J6" s="368"/>
      <c r="K6" s="368"/>
      <c r="L6" s="368"/>
      <c r="M6" s="368"/>
      <c r="N6" s="369"/>
    </row>
    <row r="7" spans="1:27" s="11" customFormat="1" ht="12.75" customHeight="1" x14ac:dyDescent="0.2">
      <c r="A7" s="353" t="s">
        <v>6</v>
      </c>
      <c r="B7" s="356" t="s">
        <v>7</v>
      </c>
      <c r="C7" s="335" t="s">
        <v>34</v>
      </c>
      <c r="D7" s="370"/>
      <c r="E7" s="371"/>
      <c r="F7" s="335" t="s">
        <v>35</v>
      </c>
      <c r="G7" s="370"/>
      <c r="H7" s="371"/>
      <c r="I7" s="335" t="s">
        <v>36</v>
      </c>
      <c r="J7" s="370"/>
      <c r="K7" s="371"/>
      <c r="L7" s="335" t="s">
        <v>37</v>
      </c>
      <c r="M7" s="370"/>
      <c r="N7" s="371"/>
      <c r="O7" s="334" t="s">
        <v>38</v>
      </c>
      <c r="P7" s="331" t="s">
        <v>39</v>
      </c>
      <c r="Q7" s="331" t="s">
        <v>40</v>
      </c>
      <c r="R7" s="331" t="s">
        <v>41</v>
      </c>
    </row>
    <row r="8" spans="1:27" s="11" customFormat="1" ht="12.6" customHeight="1" x14ac:dyDescent="0.2">
      <c r="A8" s="354"/>
      <c r="B8" s="357"/>
      <c r="C8" s="336"/>
      <c r="D8" s="372"/>
      <c r="E8" s="373"/>
      <c r="F8" s="336"/>
      <c r="G8" s="372"/>
      <c r="H8" s="373"/>
      <c r="I8" s="336"/>
      <c r="J8" s="372"/>
      <c r="K8" s="373"/>
      <c r="L8" s="336"/>
      <c r="M8" s="372"/>
      <c r="N8" s="373"/>
      <c r="O8" s="332"/>
      <c r="P8" s="332"/>
      <c r="Q8" s="332"/>
      <c r="R8" s="332"/>
    </row>
    <row r="9" spans="1:27" s="11" customFormat="1" ht="28.5" customHeight="1" thickBot="1" x14ac:dyDescent="0.25">
      <c r="A9" s="355"/>
      <c r="B9" s="358"/>
      <c r="C9" s="337"/>
      <c r="D9" s="374"/>
      <c r="E9" s="375"/>
      <c r="F9" s="337"/>
      <c r="G9" s="374"/>
      <c r="H9" s="375"/>
      <c r="I9" s="337"/>
      <c r="J9" s="374"/>
      <c r="K9" s="375"/>
      <c r="L9" s="337"/>
      <c r="M9" s="374"/>
      <c r="N9" s="375"/>
      <c r="O9" s="333"/>
      <c r="P9" s="333"/>
      <c r="Q9" s="333"/>
      <c r="R9" s="333"/>
    </row>
    <row r="10" spans="1:27" s="11" customFormat="1" ht="28.5" customHeight="1" thickBot="1" x14ac:dyDescent="0.3">
      <c r="A10" s="160"/>
      <c r="B10" s="161"/>
      <c r="C10" s="162" t="s">
        <v>42</v>
      </c>
      <c r="D10" s="162" t="s">
        <v>43</v>
      </c>
      <c r="E10" s="162" t="s">
        <v>44</v>
      </c>
      <c r="F10" s="162" t="s">
        <v>42</v>
      </c>
      <c r="G10" s="162" t="s">
        <v>43</v>
      </c>
      <c r="H10" s="162" t="s">
        <v>44</v>
      </c>
      <c r="I10" s="162" t="s">
        <v>42</v>
      </c>
      <c r="J10" s="162" t="s">
        <v>43</v>
      </c>
      <c r="K10" s="162" t="s">
        <v>44</v>
      </c>
      <c r="L10" s="162" t="s">
        <v>42</v>
      </c>
      <c r="M10" s="162" t="s">
        <v>43</v>
      </c>
      <c r="N10" s="162" t="s">
        <v>44</v>
      </c>
      <c r="O10" s="162"/>
      <c r="P10" s="162"/>
      <c r="Q10" s="122"/>
      <c r="R10" s="122"/>
      <c r="S10" s="159"/>
    </row>
    <row r="11" spans="1:27" ht="18" x14ac:dyDescent="0.25">
      <c r="A11" s="101">
        <v>2020</v>
      </c>
      <c r="B11" s="90">
        <v>44012</v>
      </c>
      <c r="C11" s="91">
        <f>623507.23/1000</f>
        <v>623.50722999999994</v>
      </c>
      <c r="D11" s="91">
        <v>0</v>
      </c>
      <c r="E11" s="91">
        <f>5378.87/1000</f>
        <v>5.37887</v>
      </c>
      <c r="F11" s="91">
        <v>0</v>
      </c>
      <c r="G11" s="91">
        <v>0</v>
      </c>
      <c r="H11" s="91">
        <v>0</v>
      </c>
      <c r="I11" s="91">
        <v>0</v>
      </c>
      <c r="J11" s="91">
        <v>0</v>
      </c>
      <c r="K11" s="91">
        <v>0</v>
      </c>
      <c r="L11" s="91">
        <v>0</v>
      </c>
      <c r="M11" s="91">
        <v>0</v>
      </c>
      <c r="N11" s="91">
        <v>0</v>
      </c>
      <c r="O11" s="88">
        <f>SUM(C11:N11)</f>
        <v>628.88609999999994</v>
      </c>
      <c r="P11" s="88">
        <v>623.50723000000005</v>
      </c>
      <c r="Q11" s="118">
        <f t="shared" ref="Q11:Q17" si="0">(+O11-P11)/P11</f>
        <v>8.6267965168581803E-3</v>
      </c>
      <c r="R11" s="118"/>
      <c r="S11" s="68"/>
      <c r="U11" s="12"/>
      <c r="V11" s="13"/>
      <c r="W11" s="13"/>
      <c r="X11" s="13"/>
      <c r="Y11" s="51"/>
      <c r="Z11" s="51"/>
      <c r="AA11" s="51"/>
    </row>
    <row r="12" spans="1:27" s="11" customFormat="1" ht="18" x14ac:dyDescent="0.25">
      <c r="A12" s="100">
        <v>2020</v>
      </c>
      <c r="B12" s="86">
        <v>44196</v>
      </c>
      <c r="C12" s="87">
        <f>1870504.92/1000</f>
        <v>1870.5049199999999</v>
      </c>
      <c r="D12" s="87">
        <f>54262.86/1000</f>
        <v>54.262860000000003</v>
      </c>
      <c r="E12" s="87">
        <f>(26314.29+64806.7)/1000</f>
        <v>91.120989999999992</v>
      </c>
      <c r="F12" s="87">
        <f>1165173.97/1000</f>
        <v>1165.1739700000001</v>
      </c>
      <c r="G12" s="87">
        <v>0</v>
      </c>
      <c r="H12" s="87">
        <v>0</v>
      </c>
      <c r="I12" s="87">
        <f>1164973.53/1000</f>
        <v>1164.97353</v>
      </c>
      <c r="J12" s="87">
        <v>0</v>
      </c>
      <c r="K12" s="87">
        <v>0</v>
      </c>
      <c r="L12" s="87">
        <f>1161485.66/1000</f>
        <v>1161.4856599999998</v>
      </c>
      <c r="M12" s="87">
        <v>0</v>
      </c>
      <c r="N12" s="87">
        <v>0</v>
      </c>
      <c r="O12" s="88">
        <f t="shared" ref="O12:O23" si="1">SUM(C12:N12)</f>
        <v>5507.521929999999</v>
      </c>
      <c r="P12" s="88">
        <v>5442.7172300000002</v>
      </c>
      <c r="Q12" s="118">
        <f t="shared" si="0"/>
        <v>1.1906681398548198E-2</v>
      </c>
      <c r="R12" s="118"/>
      <c r="S12" s="68"/>
      <c r="U12" s="14"/>
      <c r="V12" s="13"/>
      <c r="W12" s="13"/>
      <c r="X12" s="13"/>
      <c r="Y12" s="51"/>
      <c r="Z12" s="51"/>
      <c r="AA12" s="51"/>
    </row>
    <row r="13" spans="1:27" s="11" customFormat="1" ht="18" x14ac:dyDescent="0.25">
      <c r="A13" s="102">
        <v>2021</v>
      </c>
      <c r="B13" s="86">
        <v>44012</v>
      </c>
      <c r="C13" s="87">
        <v>1108.9637199999997</v>
      </c>
      <c r="D13" s="87">
        <v>164.87197999999998</v>
      </c>
      <c r="E13" s="87">
        <f>(550600.95+885.75)/1000</f>
        <v>551.48669999999993</v>
      </c>
      <c r="F13" s="87">
        <v>132.37734999999998</v>
      </c>
      <c r="G13" s="87">
        <v>0</v>
      </c>
      <c r="H13" s="87">
        <v>3.47593</v>
      </c>
      <c r="I13" s="87">
        <v>110.79114999999999</v>
      </c>
      <c r="J13" s="87">
        <v>0</v>
      </c>
      <c r="K13" s="87">
        <v>3.47593</v>
      </c>
      <c r="L13" s="87">
        <v>109.43949000000001</v>
      </c>
      <c r="M13" s="87">
        <v>0</v>
      </c>
      <c r="N13" s="87">
        <v>3.47593</v>
      </c>
      <c r="O13" s="88">
        <f t="shared" si="1"/>
        <v>2188.3581799999997</v>
      </c>
      <c r="P13" s="88">
        <v>2187.4721099999965</v>
      </c>
      <c r="Q13" s="118">
        <f t="shared" si="0"/>
        <v>4.0506573590243515E-4</v>
      </c>
      <c r="R13" s="118"/>
      <c r="S13" s="68"/>
      <c r="T13" s="13"/>
      <c r="U13" s="13"/>
      <c r="V13" s="13"/>
      <c r="W13" s="13"/>
      <c r="X13" s="13"/>
      <c r="Y13" s="51"/>
      <c r="Z13" s="51"/>
      <c r="AA13" s="51"/>
    </row>
    <row r="14" spans="1:27" s="11" customFormat="1" ht="18" x14ac:dyDescent="0.25">
      <c r="A14" s="102">
        <v>2021</v>
      </c>
      <c r="B14" s="81">
        <v>44196</v>
      </c>
      <c r="C14" s="207">
        <v>4496.8564000000006</v>
      </c>
      <c r="D14" s="207">
        <v>1727.4895499999998</v>
      </c>
      <c r="E14" s="207">
        <v>7002.4199499999986</v>
      </c>
      <c r="F14" s="207">
        <v>1231.3595500000004</v>
      </c>
      <c r="G14" s="207">
        <v>0</v>
      </c>
      <c r="H14" s="207">
        <v>117.97689000000001</v>
      </c>
      <c r="I14" s="207">
        <v>1270.2663299999999</v>
      </c>
      <c r="J14" s="207">
        <v>0</v>
      </c>
      <c r="K14" s="207">
        <v>731.11549000000002</v>
      </c>
      <c r="L14" s="207">
        <v>1330.2842900000001</v>
      </c>
      <c r="M14" s="207">
        <v>0</v>
      </c>
      <c r="N14" s="207">
        <v>121.92020000000001</v>
      </c>
      <c r="O14" s="208">
        <f t="shared" si="1"/>
        <v>18029.68865</v>
      </c>
      <c r="P14" s="88">
        <v>17472.83905999998</v>
      </c>
      <c r="Q14" s="118">
        <f t="shared" si="0"/>
        <v>3.1869439653616341E-2</v>
      </c>
      <c r="R14" s="118"/>
      <c r="S14" s="68"/>
      <c r="T14" s="13"/>
      <c r="U14" s="14"/>
      <c r="V14" s="13"/>
      <c r="W14" s="13"/>
      <c r="X14" s="13"/>
      <c r="Y14" s="51"/>
      <c r="Z14" s="51"/>
      <c r="AA14" s="51"/>
    </row>
    <row r="15" spans="1:27" s="11" customFormat="1" ht="18" x14ac:dyDescent="0.25">
      <c r="A15" s="103">
        <v>2022</v>
      </c>
      <c r="B15" s="92">
        <v>44012</v>
      </c>
      <c r="C15" s="87">
        <v>3263.2449199999969</v>
      </c>
      <c r="D15" s="87">
        <v>159.59367999999998</v>
      </c>
      <c r="E15" s="87">
        <v>3051.6997300000003</v>
      </c>
      <c r="F15" s="87">
        <v>121.47562999999998</v>
      </c>
      <c r="G15" s="207">
        <v>0</v>
      </c>
      <c r="H15" s="87">
        <v>27.213439999999984</v>
      </c>
      <c r="I15" s="87">
        <v>115.40021000000002</v>
      </c>
      <c r="J15" s="207">
        <v>0</v>
      </c>
      <c r="K15" s="87">
        <v>-10.633610000000033</v>
      </c>
      <c r="L15" s="87">
        <v>118.35695000000001</v>
      </c>
      <c r="M15" s="207">
        <v>0</v>
      </c>
      <c r="N15" s="87">
        <v>-40.705830000000006</v>
      </c>
      <c r="O15" s="88">
        <f t="shared" si="1"/>
        <v>6805.6451199999974</v>
      </c>
      <c r="P15" s="88">
        <v>13466.679839523795</v>
      </c>
      <c r="Q15" s="118">
        <f t="shared" si="0"/>
        <v>-0.49463080721456754</v>
      </c>
      <c r="R15" s="118"/>
      <c r="S15" s="68"/>
      <c r="T15" s="13"/>
      <c r="U15" s="15"/>
      <c r="V15" s="13"/>
      <c r="W15" s="13"/>
      <c r="X15" s="13"/>
      <c r="Y15" s="51"/>
      <c r="Z15" s="51"/>
      <c r="AA15" s="51"/>
    </row>
    <row r="16" spans="1:27" s="11" customFormat="1" ht="18" x14ac:dyDescent="0.25">
      <c r="A16" s="100">
        <v>2022</v>
      </c>
      <c r="B16" s="86">
        <v>44196</v>
      </c>
      <c r="C16" s="87">
        <v>3125.5259299999998</v>
      </c>
      <c r="D16" s="87">
        <v>2788.7339700000002</v>
      </c>
      <c r="E16" s="87">
        <v>6589.465729999999</v>
      </c>
      <c r="F16" s="87">
        <v>1308.60303</v>
      </c>
      <c r="G16" s="87">
        <v>1701.7616599999997</v>
      </c>
      <c r="H16" s="87">
        <v>96.149429999999981</v>
      </c>
      <c r="I16" s="87">
        <v>1039.6255699999999</v>
      </c>
      <c r="J16" s="87">
        <v>156.01313999999999</v>
      </c>
      <c r="K16" s="87">
        <v>2124.2975200000001</v>
      </c>
      <c r="L16" s="87">
        <v>156.14541999999997</v>
      </c>
      <c r="M16" s="87">
        <v>8.8872799999999987</v>
      </c>
      <c r="N16" s="87">
        <v>15.698429999999988</v>
      </c>
      <c r="O16" s="88">
        <f t="shared" si="1"/>
        <v>19110.907109999996</v>
      </c>
      <c r="P16" s="88">
        <v>19761.833730476155</v>
      </c>
      <c r="Q16" s="118">
        <f t="shared" si="0"/>
        <v>-3.2938573887114422E-2</v>
      </c>
      <c r="R16" s="118"/>
      <c r="S16" s="68"/>
      <c r="T16" s="270"/>
      <c r="U16" s="42"/>
      <c r="V16" s="270"/>
      <c r="W16" s="270"/>
      <c r="X16" s="270"/>
      <c r="Y16" s="51"/>
      <c r="Z16" s="51"/>
      <c r="AA16" s="51"/>
    </row>
    <row r="17" spans="1:28" s="11" customFormat="1" ht="18" x14ac:dyDescent="0.25">
      <c r="A17" s="103">
        <v>2023</v>
      </c>
      <c r="B17" s="92">
        <v>44012</v>
      </c>
      <c r="C17" s="87">
        <v>3354.1119800000033</v>
      </c>
      <c r="D17" s="87">
        <v>720.57806000000005</v>
      </c>
      <c r="E17" s="87">
        <v>3445.9873499999976</v>
      </c>
      <c r="F17" s="87">
        <v>873.67542999999944</v>
      </c>
      <c r="G17" s="87">
        <v>133.94811999999996</v>
      </c>
      <c r="H17" s="87">
        <v>55.823290000000007</v>
      </c>
      <c r="I17" s="87">
        <v>445.84203999999994</v>
      </c>
      <c r="J17" s="87">
        <v>1627.7777799999999</v>
      </c>
      <c r="K17" s="87">
        <v>352.06986999999975</v>
      </c>
      <c r="L17" s="87">
        <v>222.53278999999998</v>
      </c>
      <c r="M17" s="87">
        <v>61.033159999999974</v>
      </c>
      <c r="N17" s="87">
        <v>49.066010000000027</v>
      </c>
      <c r="O17" s="88">
        <f t="shared" si="1"/>
        <v>11342.445879999999</v>
      </c>
      <c r="P17" s="88">
        <v>11032.993011250031</v>
      </c>
      <c r="Q17" s="118">
        <f t="shared" si="0"/>
        <v>2.804795293846624E-2</v>
      </c>
      <c r="R17" s="118"/>
      <c r="S17" s="68"/>
      <c r="T17" s="13"/>
      <c r="U17" s="42"/>
      <c r="V17" s="13"/>
      <c r="W17" s="13"/>
      <c r="X17" s="13"/>
      <c r="Y17" s="51"/>
      <c r="Z17" s="51"/>
      <c r="AA17" s="51"/>
    </row>
    <row r="18" spans="1:28" s="11" customFormat="1" ht="18" x14ac:dyDescent="0.25">
      <c r="A18" s="100">
        <v>2023</v>
      </c>
      <c r="B18" s="86">
        <v>44196</v>
      </c>
      <c r="C18" s="87">
        <v>3532.3591899999878</v>
      </c>
      <c r="D18" s="87">
        <v>897.91704000000027</v>
      </c>
      <c r="E18" s="87">
        <v>6957.2575699999843</v>
      </c>
      <c r="F18" s="87">
        <v>1176.6894800000018</v>
      </c>
      <c r="G18" s="87">
        <v>3796.0778200000009</v>
      </c>
      <c r="H18" s="87">
        <v>1234.4633099999999</v>
      </c>
      <c r="I18" s="87">
        <v>929.92041000000074</v>
      </c>
      <c r="J18" s="87">
        <v>182.22755000000006</v>
      </c>
      <c r="K18" s="87">
        <v>755.77965000000006</v>
      </c>
      <c r="L18" s="87">
        <v>1555.3062299999995</v>
      </c>
      <c r="M18" s="87">
        <v>1184.8290300000003</v>
      </c>
      <c r="N18" s="87">
        <v>307.42223999999993</v>
      </c>
      <c r="O18" s="88">
        <f t="shared" si="1"/>
        <v>22510.249519999976</v>
      </c>
      <c r="P18" s="88">
        <v>7858.4967020833428</v>
      </c>
      <c r="Q18" s="118">
        <f>(+O18-P18)/P18</f>
        <v>1.8644472821414242</v>
      </c>
      <c r="R18" s="118" t="s">
        <v>28</v>
      </c>
      <c r="S18" s="68"/>
      <c r="T18" s="13"/>
      <c r="U18" s="14"/>
      <c r="V18" s="13"/>
      <c r="W18" s="13"/>
      <c r="X18" s="13"/>
      <c r="Y18" s="51"/>
      <c r="Z18" s="51"/>
      <c r="AA18" s="51"/>
    </row>
    <row r="19" spans="1:28" s="11" customFormat="1" ht="18" x14ac:dyDescent="0.25">
      <c r="A19" s="102">
        <v>2024</v>
      </c>
      <c r="B19" s="86">
        <v>44012</v>
      </c>
      <c r="C19" s="87">
        <v>-2673.9740499999989</v>
      </c>
      <c r="D19" s="87">
        <v>53.561770000000074</v>
      </c>
      <c r="E19" s="87">
        <v>3430.4995800000002</v>
      </c>
      <c r="F19" s="87">
        <v>4165.9856600000012</v>
      </c>
      <c r="G19" s="87">
        <v>455.8315300000001</v>
      </c>
      <c r="H19" s="87">
        <v>163.89687000000001</v>
      </c>
      <c r="I19" s="87">
        <v>1152.54808</v>
      </c>
      <c r="J19" s="87">
        <v>1377.0221899999999</v>
      </c>
      <c r="K19" s="87">
        <v>1647.4740800000015</v>
      </c>
      <c r="L19" s="87">
        <v>851.37669999999957</v>
      </c>
      <c r="M19" s="87">
        <v>409.32665000000009</v>
      </c>
      <c r="N19" s="87">
        <v>616.16869999999949</v>
      </c>
      <c r="O19" s="88">
        <f t="shared" si="1"/>
        <v>11649.717760000005</v>
      </c>
      <c r="P19" s="88">
        <v>11712.559191250039</v>
      </c>
      <c r="Q19" s="118">
        <f>(+O19-P19)/P19</f>
        <v>-5.365303194965261E-3</v>
      </c>
      <c r="R19" s="118" t="s">
        <v>45</v>
      </c>
      <c r="S19" s="68"/>
      <c r="T19" s="13"/>
      <c r="U19" s="43"/>
      <c r="V19" s="13"/>
      <c r="W19" s="13"/>
      <c r="X19" s="13"/>
      <c r="Y19" s="51"/>
      <c r="Z19" s="51"/>
      <c r="AA19" s="51"/>
    </row>
    <row r="20" spans="1:28" s="11" customFormat="1" ht="18" x14ac:dyDescent="0.25">
      <c r="A20" s="102">
        <v>2024</v>
      </c>
      <c r="B20" s="86">
        <v>44196</v>
      </c>
      <c r="C20" s="87">
        <v>-3701.7427500000022</v>
      </c>
      <c r="D20" s="87">
        <v>630.15434999999991</v>
      </c>
      <c r="E20" s="87">
        <v>5605.7412499999991</v>
      </c>
      <c r="F20" s="87">
        <v>-2413.1601299999993</v>
      </c>
      <c r="G20" s="87">
        <v>1744.5859500000001</v>
      </c>
      <c r="H20" s="87">
        <v>1518.7206299999996</v>
      </c>
      <c r="I20" s="87">
        <v>2556.4276200000054</v>
      </c>
      <c r="J20" s="87">
        <v>2935.5474400000003</v>
      </c>
      <c r="K20" s="87">
        <v>1932.4372900000012</v>
      </c>
      <c r="L20" s="87">
        <v>1201.47336</v>
      </c>
      <c r="M20" s="87">
        <v>1792.7866199999996</v>
      </c>
      <c r="N20" s="87">
        <v>604.80121999999915</v>
      </c>
      <c r="O20" s="88">
        <f t="shared" si="1"/>
        <v>14407.772850000003</v>
      </c>
      <c r="P20" s="88">
        <v>7964.6128120833282</v>
      </c>
      <c r="Q20" s="118">
        <f>(+O20-P20)/P20</f>
        <v>0.80897341652836952</v>
      </c>
      <c r="R20" s="118" t="s">
        <v>29</v>
      </c>
      <c r="S20" s="68"/>
      <c r="T20" s="13"/>
      <c r="U20" s="14"/>
      <c r="V20" s="13"/>
      <c r="W20" s="13"/>
      <c r="X20" s="13"/>
      <c r="Y20" s="51"/>
      <c r="Z20" s="51"/>
      <c r="AA20" s="51"/>
    </row>
    <row r="21" spans="1:28" s="11" customFormat="1" ht="18" x14ac:dyDescent="0.25">
      <c r="A21" s="102">
        <v>2025</v>
      </c>
      <c r="B21" s="92">
        <v>44012</v>
      </c>
      <c r="C21" s="87">
        <v>2.2802599999999993</v>
      </c>
      <c r="D21" s="87">
        <v>0</v>
      </c>
      <c r="E21" s="87">
        <v>2089.22723</v>
      </c>
      <c r="F21" s="87">
        <v>0.25716</v>
      </c>
      <c r="G21" s="87">
        <v>1.0227599999999999</v>
      </c>
      <c r="H21" s="87">
        <v>27.785229999999995</v>
      </c>
      <c r="I21" s="87">
        <v>368.14634000000018</v>
      </c>
      <c r="J21" s="87">
        <v>74.993310000000022</v>
      </c>
      <c r="K21" s="87">
        <v>102.50329000000002</v>
      </c>
      <c r="L21" s="87">
        <v>3209.5876100000005</v>
      </c>
      <c r="M21" s="87">
        <v>2591.012189999999</v>
      </c>
      <c r="N21" s="87">
        <v>683.81850999999949</v>
      </c>
      <c r="O21" s="88">
        <f t="shared" si="1"/>
        <v>9150.6338899999992</v>
      </c>
      <c r="P21" s="88">
        <v>10098.050087916643</v>
      </c>
      <c r="Q21" s="118">
        <f>(+O21-P21)/P21</f>
        <v>-9.3821697225519293E-2</v>
      </c>
      <c r="R21" s="118"/>
      <c r="S21" s="68"/>
      <c r="T21" s="13"/>
      <c r="U21" s="14"/>
      <c r="V21" s="13"/>
      <c r="W21" s="13"/>
      <c r="X21" s="13"/>
      <c r="Y21" s="51"/>
      <c r="Z21" s="51"/>
      <c r="AA21" s="51"/>
    </row>
    <row r="22" spans="1:28" s="11" customFormat="1" ht="18" x14ac:dyDescent="0.25">
      <c r="A22" s="102">
        <v>2025</v>
      </c>
      <c r="B22" s="86">
        <v>44196</v>
      </c>
      <c r="C22" s="87"/>
      <c r="D22" s="87"/>
      <c r="E22" s="87"/>
      <c r="F22" s="87"/>
      <c r="G22" s="87"/>
      <c r="H22" s="87"/>
      <c r="I22" s="87"/>
      <c r="J22" s="87"/>
      <c r="K22" s="87"/>
      <c r="L22" s="87"/>
      <c r="M22" s="87"/>
      <c r="N22" s="87"/>
      <c r="O22" s="88">
        <f t="shared" si="1"/>
        <v>0</v>
      </c>
      <c r="P22" s="88">
        <v>7670.0805454166639</v>
      </c>
      <c r="Q22" s="118"/>
      <c r="R22" s="118"/>
      <c r="S22" s="53"/>
      <c r="T22" s="13"/>
      <c r="U22" s="14"/>
      <c r="V22" s="13"/>
      <c r="W22" s="13"/>
      <c r="X22" s="13"/>
      <c r="Y22" s="51"/>
      <c r="Z22" s="51"/>
      <c r="AA22" s="51"/>
    </row>
    <row r="23" spans="1:28" s="11" customFormat="1" ht="18" x14ac:dyDescent="0.25">
      <c r="A23" s="102">
        <f>A21+1</f>
        <v>2026</v>
      </c>
      <c r="B23" s="86">
        <v>44012</v>
      </c>
      <c r="C23" s="87"/>
      <c r="D23" s="87"/>
      <c r="E23" s="87"/>
      <c r="F23" s="87"/>
      <c r="G23" s="87"/>
      <c r="H23" s="87"/>
      <c r="I23" s="87"/>
      <c r="J23" s="87"/>
      <c r="K23" s="87"/>
      <c r="L23" s="87"/>
      <c r="M23" s="87"/>
      <c r="N23" s="87"/>
      <c r="O23" s="88">
        <f t="shared" si="1"/>
        <v>0</v>
      </c>
      <c r="P23" s="88">
        <v>3.4752399999999999</v>
      </c>
      <c r="Q23" s="88"/>
      <c r="R23" s="193"/>
      <c r="S23" s="53"/>
      <c r="T23" s="13"/>
      <c r="U23" s="14"/>
      <c r="V23" s="13"/>
      <c r="W23" s="13"/>
      <c r="X23" s="13"/>
      <c r="Y23" s="51"/>
      <c r="Z23" s="51"/>
      <c r="AA23" s="51"/>
    </row>
    <row r="24" spans="1:28" s="11" customFormat="1" ht="18" x14ac:dyDescent="0.25">
      <c r="A24" s="102">
        <f>A22+1</f>
        <v>2026</v>
      </c>
      <c r="B24" s="86">
        <v>44196</v>
      </c>
      <c r="C24" s="93"/>
      <c r="D24" s="93"/>
      <c r="E24" s="93"/>
      <c r="F24" s="93"/>
      <c r="G24" s="93"/>
      <c r="H24" s="93"/>
      <c r="I24" s="93"/>
      <c r="J24" s="93"/>
      <c r="K24" s="93"/>
      <c r="L24" s="93"/>
      <c r="M24" s="93"/>
      <c r="N24" s="93"/>
      <c r="O24" s="94"/>
      <c r="P24" s="94"/>
      <c r="Q24" s="94"/>
      <c r="R24" s="193"/>
      <c r="S24" s="53"/>
      <c r="U24" s="14"/>
      <c r="V24" s="13"/>
      <c r="W24" s="13"/>
      <c r="X24" s="13"/>
      <c r="Y24" s="51"/>
      <c r="Z24" s="51"/>
      <c r="AA24" s="51"/>
    </row>
    <row r="25" spans="1:28" s="11" customFormat="1" ht="18" x14ac:dyDescent="0.25">
      <c r="A25" s="102">
        <f t="shared" ref="A25:A26" si="2">A23+1</f>
        <v>2027</v>
      </c>
      <c r="B25" s="92">
        <v>44012</v>
      </c>
      <c r="C25" s="93"/>
      <c r="D25" s="93"/>
      <c r="E25" s="93"/>
      <c r="F25" s="93"/>
      <c r="G25" s="93"/>
      <c r="H25" s="93"/>
      <c r="I25" s="93"/>
      <c r="J25" s="93"/>
      <c r="K25" s="93"/>
      <c r="L25" s="93"/>
      <c r="M25" s="93"/>
      <c r="N25" s="93"/>
      <c r="O25" s="94"/>
      <c r="P25" s="94"/>
      <c r="Q25" s="94"/>
      <c r="R25" s="193"/>
      <c r="S25" s="53"/>
      <c r="U25" s="14"/>
      <c r="V25" s="13"/>
      <c r="W25" s="13"/>
      <c r="X25" s="13"/>
      <c r="Y25" s="51"/>
      <c r="Z25" s="51"/>
      <c r="AA25" s="51"/>
    </row>
    <row r="26" spans="1:28" s="11" customFormat="1" ht="18.75" thickBot="1" x14ac:dyDescent="0.3">
      <c r="A26" s="104">
        <f t="shared" si="2"/>
        <v>2027</v>
      </c>
      <c r="B26" s="95">
        <v>44196</v>
      </c>
      <c r="C26" s="96"/>
      <c r="D26" s="96"/>
      <c r="E26" s="96"/>
      <c r="F26" s="96"/>
      <c r="G26" s="96"/>
      <c r="H26" s="96"/>
      <c r="I26" s="96"/>
      <c r="J26" s="96"/>
      <c r="K26" s="96"/>
      <c r="L26" s="96"/>
      <c r="M26" s="96"/>
      <c r="N26" s="96"/>
      <c r="O26" s="94"/>
      <c r="P26" s="94"/>
      <c r="Q26" s="94"/>
      <c r="R26" s="194"/>
      <c r="S26" s="53"/>
      <c r="U26" s="14"/>
      <c r="V26" s="13"/>
      <c r="W26" s="13"/>
      <c r="X26" s="13"/>
      <c r="Y26" s="51"/>
      <c r="Z26" s="51"/>
      <c r="AA26" s="51"/>
    </row>
    <row r="27" spans="1:28" s="11" customFormat="1" ht="18.75" thickBot="1" x14ac:dyDescent="0.3">
      <c r="A27" s="351" t="s">
        <v>24</v>
      </c>
      <c r="B27" s="352"/>
      <c r="C27" s="89">
        <f>SUM(C11:C26)</f>
        <v>15001.637749999991</v>
      </c>
      <c r="D27" s="89">
        <f t="shared" ref="D27:N27" si="3">SUM(D11:D26)</f>
        <v>7197.1632600000003</v>
      </c>
      <c r="E27" s="89">
        <f t="shared" si="3"/>
        <v>38820.284949999972</v>
      </c>
      <c r="F27" s="89">
        <f t="shared" si="3"/>
        <v>7762.4371300000039</v>
      </c>
      <c r="G27" s="89">
        <f t="shared" si="3"/>
        <v>7833.2278400000014</v>
      </c>
      <c r="H27" s="89">
        <f t="shared" si="3"/>
        <v>3245.5050199999991</v>
      </c>
      <c r="I27" s="89">
        <f t="shared" si="3"/>
        <v>9153.9412800000046</v>
      </c>
      <c r="J27" s="89">
        <f t="shared" si="3"/>
        <v>6353.5814099999998</v>
      </c>
      <c r="K27" s="89">
        <f t="shared" si="3"/>
        <v>7638.5195100000028</v>
      </c>
      <c r="L27" s="89">
        <f t="shared" si="3"/>
        <v>9915.9884999999995</v>
      </c>
      <c r="M27" s="89">
        <f t="shared" si="3"/>
        <v>6047.8749299999981</v>
      </c>
      <c r="N27" s="89">
        <f t="shared" si="3"/>
        <v>2361.6654099999982</v>
      </c>
      <c r="O27" s="89">
        <f t="shared" ref="O27" si="4">SUM(O11:O26)</f>
        <v>121331.82698999997</v>
      </c>
      <c r="P27" s="89">
        <f t="shared" ref="P27" si="5">SUM(P11:P26)</f>
        <v>115295.31678999997</v>
      </c>
      <c r="Q27" s="119">
        <f>(P28-P27)/P27</f>
        <v>5.3239000341876237E-2</v>
      </c>
      <c r="R27" s="89" t="s">
        <v>27</v>
      </c>
      <c r="S27" s="24"/>
      <c r="U27" s="59"/>
      <c r="V27" s="14"/>
      <c r="W27" s="13"/>
      <c r="X27" s="13"/>
      <c r="Y27" s="13"/>
      <c r="Z27" s="51"/>
      <c r="AA27" s="51"/>
      <c r="AB27" s="51"/>
    </row>
    <row r="28" spans="1:28" s="11" customFormat="1" ht="16.5" customHeight="1" thickBot="1" x14ac:dyDescent="0.25">
      <c r="B28" s="16"/>
      <c r="C28" s="17"/>
      <c r="D28" s="17"/>
      <c r="E28" s="17"/>
      <c r="F28" s="18"/>
      <c r="G28" s="18"/>
      <c r="H28" s="17"/>
      <c r="I28" s="17"/>
      <c r="J28" s="19"/>
      <c r="K28" s="19"/>
      <c r="L28" s="19"/>
      <c r="M28" s="19"/>
      <c r="N28" s="382" t="s">
        <v>46</v>
      </c>
      <c r="O28" s="383"/>
      <c r="P28" s="89">
        <v>121433.52419999951</v>
      </c>
    </row>
    <row r="29" spans="1:28" s="11" customFormat="1" x14ac:dyDescent="0.2">
      <c r="A29" s="8" t="s">
        <v>25</v>
      </c>
      <c r="H29" s="37"/>
      <c r="I29" s="37"/>
      <c r="J29" s="38"/>
      <c r="K29" s="38"/>
      <c r="L29" s="38"/>
      <c r="M29" s="38"/>
      <c r="R29" s="15"/>
    </row>
    <row r="30" spans="1:28" ht="13.5" thickBot="1" x14ac:dyDescent="0.25">
      <c r="C30" s="23"/>
      <c r="D30" s="23"/>
      <c r="E30" s="23"/>
      <c r="R30" s="22"/>
    </row>
    <row r="31" spans="1:28" ht="18.75" customHeight="1" thickBot="1" x14ac:dyDescent="0.3">
      <c r="A31" s="376" t="s">
        <v>26</v>
      </c>
      <c r="B31" s="377"/>
      <c r="C31" s="377"/>
      <c r="D31" s="377"/>
      <c r="E31" s="377"/>
      <c r="F31" s="377"/>
      <c r="G31" s="377"/>
      <c r="H31" s="377"/>
      <c r="I31" s="377"/>
      <c r="J31" s="377"/>
      <c r="K31" s="377"/>
      <c r="L31" s="377"/>
      <c r="M31" s="377"/>
      <c r="N31" s="378"/>
      <c r="R31" s="22"/>
    </row>
    <row r="32" spans="1:28" ht="18.75" thickBot="1" x14ac:dyDescent="0.25">
      <c r="A32" s="61" t="s">
        <v>27</v>
      </c>
      <c r="B32" s="379" t="s">
        <v>47</v>
      </c>
      <c r="C32" s="380"/>
      <c r="D32" s="380"/>
      <c r="E32" s="380"/>
      <c r="F32" s="380"/>
      <c r="G32" s="380"/>
      <c r="H32" s="380"/>
      <c r="I32" s="380"/>
      <c r="J32" s="380"/>
      <c r="K32" s="380"/>
      <c r="L32" s="380"/>
      <c r="M32" s="380"/>
      <c r="N32" s="381"/>
      <c r="R32" s="22"/>
    </row>
    <row r="33" spans="1:18" ht="68.25" customHeight="1" thickBot="1" x14ac:dyDescent="0.25">
      <c r="A33" s="61" t="s">
        <v>28</v>
      </c>
      <c r="B33" s="348" t="s">
        <v>48</v>
      </c>
      <c r="C33" s="349"/>
      <c r="D33" s="349"/>
      <c r="E33" s="349"/>
      <c r="F33" s="349"/>
      <c r="G33" s="349"/>
      <c r="H33" s="349"/>
      <c r="I33" s="349"/>
      <c r="J33" s="349"/>
      <c r="K33" s="349"/>
      <c r="L33" s="349"/>
      <c r="M33" s="349"/>
      <c r="N33" s="350"/>
      <c r="R33" s="22"/>
    </row>
    <row r="34" spans="1:18" ht="45.75" customHeight="1" thickBot="1" x14ac:dyDescent="0.25">
      <c r="A34" s="61" t="s">
        <v>29</v>
      </c>
      <c r="B34" s="348" t="s">
        <v>49</v>
      </c>
      <c r="C34" s="349"/>
      <c r="D34" s="349"/>
      <c r="E34" s="349"/>
      <c r="F34" s="349"/>
      <c r="G34" s="349"/>
      <c r="H34" s="349"/>
      <c r="I34" s="349"/>
      <c r="J34" s="349"/>
      <c r="K34" s="349"/>
      <c r="L34" s="349"/>
      <c r="M34" s="349"/>
      <c r="N34" s="350"/>
      <c r="R34" s="22"/>
    </row>
    <row r="35" spans="1:18" ht="45.75" customHeight="1" thickBot="1" x14ac:dyDescent="0.25">
      <c r="A35" s="61" t="s">
        <v>45</v>
      </c>
      <c r="B35" s="364" t="s">
        <v>50</v>
      </c>
      <c r="C35" s="365"/>
      <c r="D35" s="365"/>
      <c r="E35" s="365"/>
      <c r="F35" s="365"/>
      <c r="G35" s="365"/>
      <c r="H35" s="365"/>
      <c r="I35" s="365"/>
      <c r="J35" s="365"/>
      <c r="K35" s="365"/>
      <c r="L35" s="365"/>
      <c r="M35" s="365"/>
      <c r="N35" s="366"/>
      <c r="R35" s="22"/>
    </row>
    <row r="36" spans="1:18" x14ac:dyDescent="0.2">
      <c r="H36" s="44"/>
      <c r="I36" s="44"/>
      <c r="R36" s="22"/>
    </row>
    <row r="37" spans="1:18" x14ac:dyDescent="0.2">
      <c r="A37" s="1" t="s">
        <v>51</v>
      </c>
      <c r="R37" s="22"/>
    </row>
    <row r="38" spans="1:18" x14ac:dyDescent="0.2">
      <c r="A38" s="1" t="s">
        <v>52</v>
      </c>
      <c r="R38" s="22"/>
    </row>
    <row r="39" spans="1:18" x14ac:dyDescent="0.2">
      <c r="A39" s="1" t="s">
        <v>53</v>
      </c>
      <c r="R39" s="22"/>
    </row>
    <row r="40" spans="1:18" x14ac:dyDescent="0.2">
      <c r="B40"/>
      <c r="R40" s="22"/>
    </row>
    <row r="41" spans="1:18" x14ac:dyDescent="0.2">
      <c r="R41" s="22"/>
    </row>
    <row r="42" spans="1:18" x14ac:dyDescent="0.2">
      <c r="R42" s="22"/>
    </row>
    <row r="43" spans="1:18" x14ac:dyDescent="0.2">
      <c r="R43" s="22"/>
    </row>
    <row r="44" spans="1:18" x14ac:dyDescent="0.2">
      <c r="R44" s="22"/>
    </row>
    <row r="45" spans="1:18" x14ac:dyDescent="0.2">
      <c r="R45" s="22"/>
    </row>
    <row r="46" spans="1:18" x14ac:dyDescent="0.2">
      <c r="R46" s="22"/>
    </row>
    <row r="47" spans="1:18" x14ac:dyDescent="0.2">
      <c r="R47" s="22"/>
    </row>
    <row r="48" spans="1:18" x14ac:dyDescent="0.2">
      <c r="R48" s="22"/>
    </row>
    <row r="49" spans="18:28" x14ac:dyDescent="0.2">
      <c r="R49" s="22"/>
    </row>
    <row r="50" spans="18:28" x14ac:dyDescent="0.2">
      <c r="R50" s="22"/>
    </row>
    <row r="51" spans="18:28" x14ac:dyDescent="0.2">
      <c r="R51" s="22"/>
    </row>
    <row r="52" spans="18:28" x14ac:dyDescent="0.2">
      <c r="R52" s="22"/>
    </row>
    <row r="53" spans="18:28" x14ac:dyDescent="0.2">
      <c r="R53" s="22"/>
    </row>
    <row r="54" spans="18:28" x14ac:dyDescent="0.2">
      <c r="R54" s="22"/>
    </row>
    <row r="55" spans="18:28" x14ac:dyDescent="0.2">
      <c r="R55" s="22"/>
    </row>
    <row r="56" spans="18:28" x14ac:dyDescent="0.2">
      <c r="R56" s="22"/>
    </row>
    <row r="57" spans="18:28" x14ac:dyDescent="0.2">
      <c r="R57" s="22"/>
    </row>
    <row r="58" spans="18:28" x14ac:dyDescent="0.2">
      <c r="R58" s="22"/>
    </row>
    <row r="59" spans="18:28" x14ac:dyDescent="0.2">
      <c r="R59" s="22"/>
    </row>
    <row r="60" spans="18:28" ht="18" x14ac:dyDescent="0.25">
      <c r="R60" s="22"/>
      <c r="AB60" s="181"/>
    </row>
  </sheetData>
  <mergeCells count="22">
    <mergeCell ref="P7:P9"/>
    <mergeCell ref="O7:O9"/>
    <mergeCell ref="A31:N31"/>
    <mergeCell ref="B32:N32"/>
    <mergeCell ref="B33:N33"/>
    <mergeCell ref="N28:O28"/>
    <mergeCell ref="B35:N35"/>
    <mergeCell ref="R7:R9"/>
    <mergeCell ref="A1:Q1"/>
    <mergeCell ref="A2:Q2"/>
    <mergeCell ref="A3:Q3"/>
    <mergeCell ref="A4:Q4"/>
    <mergeCell ref="A6:N6"/>
    <mergeCell ref="B34:N34"/>
    <mergeCell ref="Q7:Q9"/>
    <mergeCell ref="A27:B27"/>
    <mergeCell ref="A7:A9"/>
    <mergeCell ref="B7:B9"/>
    <mergeCell ref="C7:E9"/>
    <mergeCell ref="F7:H9"/>
    <mergeCell ref="I7:K9"/>
    <mergeCell ref="L7:N9"/>
  </mergeCells>
  <printOptions horizontalCentered="1"/>
  <pageMargins left="0.67" right="0.65" top="0.78" bottom="0.75" header="0.52" footer="0.3"/>
  <pageSetup scale="31" fitToHeight="2" orientation="landscape" r:id="rId1"/>
  <headerFooter alignWithMargins="0">
    <oddHeader>&amp;R&amp;F</oddHeader>
  </headerFooter>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2A0D4-F7C1-4C65-AFAD-194AA7558534}">
  <dimension ref="A1:AB66"/>
  <sheetViews>
    <sheetView view="pageLayout" topLeftCell="A15" zoomScaleNormal="90" workbookViewId="0">
      <selection activeCell="C21" sqref="C21"/>
    </sheetView>
  </sheetViews>
  <sheetFormatPr defaultColWidth="9.42578125" defaultRowHeight="12.75" x14ac:dyDescent="0.2"/>
  <cols>
    <col min="1" max="1" width="18.42578125" style="1" bestFit="1" customWidth="1"/>
    <col min="2" max="2" width="23.42578125" style="1" customWidth="1"/>
    <col min="3" max="14" width="15.5703125" style="1" customWidth="1"/>
    <col min="15" max="15" width="21.42578125" style="1" customWidth="1"/>
    <col min="16" max="16" width="23.42578125" style="1" customWidth="1"/>
    <col min="17" max="17" width="21" style="1" customWidth="1"/>
    <col min="18" max="18" width="9.5703125" style="1" customWidth="1"/>
    <col min="19" max="19" width="14.42578125" style="1" bestFit="1" customWidth="1"/>
    <col min="20" max="20" width="11.42578125" style="1" bestFit="1" customWidth="1"/>
    <col min="21" max="21" width="10.42578125" style="1" bestFit="1" customWidth="1"/>
    <col min="22" max="22" width="12.5703125" style="1" bestFit="1" customWidth="1"/>
    <col min="23" max="23" width="11.5703125" style="1" bestFit="1" customWidth="1"/>
    <col min="24" max="24" width="10.42578125" style="1" bestFit="1" customWidth="1"/>
    <col min="25" max="25" width="11.5703125" style="1" bestFit="1" customWidth="1"/>
    <col min="26" max="30" width="9.42578125" style="1"/>
    <col min="31" max="31" width="17.5703125" style="1" bestFit="1" customWidth="1"/>
    <col min="32" max="32" width="19.42578125" style="1" bestFit="1" customWidth="1"/>
    <col min="33" max="34" width="15.42578125" style="1" bestFit="1" customWidth="1"/>
    <col min="35" max="16384" width="9.42578125" style="1"/>
  </cols>
  <sheetData>
    <row r="1" spans="1:27" ht="18" x14ac:dyDescent="0.25">
      <c r="A1" s="361" t="s">
        <v>444</v>
      </c>
      <c r="B1" s="361"/>
      <c r="C1" s="361"/>
      <c r="D1" s="361"/>
      <c r="E1" s="361"/>
      <c r="F1" s="361"/>
      <c r="G1" s="361"/>
      <c r="H1" s="361"/>
      <c r="I1" s="361"/>
      <c r="J1" s="361"/>
      <c r="K1" s="361"/>
      <c r="L1" s="361"/>
      <c r="M1" s="361"/>
      <c r="N1" s="361"/>
      <c r="O1" s="361"/>
      <c r="P1" s="361"/>
      <c r="Q1" s="361"/>
    </row>
    <row r="2" spans="1:27" ht="18" x14ac:dyDescent="0.25">
      <c r="A2" s="361" t="s">
        <v>0</v>
      </c>
      <c r="B2" s="361"/>
      <c r="C2" s="361"/>
      <c r="D2" s="361"/>
      <c r="E2" s="361"/>
      <c r="F2" s="361"/>
      <c r="G2" s="361"/>
      <c r="H2" s="361"/>
      <c r="I2" s="361"/>
      <c r="J2" s="361"/>
      <c r="K2" s="361"/>
      <c r="L2" s="361"/>
      <c r="M2" s="361"/>
      <c r="N2" s="361"/>
      <c r="O2" s="361"/>
      <c r="P2" s="361"/>
      <c r="Q2" s="361"/>
    </row>
    <row r="3" spans="1:27" ht="18" x14ac:dyDescent="0.25">
      <c r="A3" s="363" t="s">
        <v>1</v>
      </c>
      <c r="B3" s="361"/>
      <c r="C3" s="361"/>
      <c r="D3" s="361"/>
      <c r="E3" s="361"/>
      <c r="F3" s="361"/>
      <c r="G3" s="361"/>
      <c r="H3" s="361"/>
      <c r="I3" s="361"/>
      <c r="J3" s="361"/>
      <c r="K3" s="361"/>
      <c r="L3" s="361"/>
      <c r="M3" s="361"/>
      <c r="N3" s="361"/>
      <c r="O3" s="361"/>
      <c r="P3" s="361"/>
      <c r="Q3" s="361"/>
    </row>
    <row r="4" spans="1:27" ht="19.5" customHeight="1" x14ac:dyDescent="0.25">
      <c r="A4" s="361" t="s">
        <v>54</v>
      </c>
      <c r="B4" s="361"/>
      <c r="C4" s="361"/>
      <c r="D4" s="361"/>
      <c r="E4" s="361"/>
      <c r="F4" s="361"/>
      <c r="G4" s="361"/>
      <c r="H4" s="361"/>
      <c r="I4" s="361"/>
      <c r="J4" s="361"/>
      <c r="K4" s="361"/>
      <c r="L4" s="361"/>
      <c r="M4" s="361"/>
      <c r="N4" s="361"/>
      <c r="O4" s="361"/>
      <c r="P4" s="361"/>
      <c r="Q4" s="361"/>
    </row>
    <row r="6" spans="1:27" ht="16.5" thickBot="1" x14ac:dyDescent="0.3">
      <c r="A6" s="367" t="s">
        <v>33</v>
      </c>
      <c r="B6" s="368"/>
      <c r="C6" s="368"/>
      <c r="D6" s="368"/>
      <c r="E6" s="368"/>
      <c r="F6" s="368"/>
      <c r="G6" s="368"/>
      <c r="H6" s="368"/>
      <c r="I6" s="368"/>
      <c r="J6" s="368"/>
      <c r="K6" s="368"/>
      <c r="L6" s="368"/>
      <c r="M6" s="368"/>
      <c r="N6" s="369"/>
    </row>
    <row r="7" spans="1:27" s="11" customFormat="1" ht="12.75" customHeight="1" x14ac:dyDescent="0.2">
      <c r="A7" s="353" t="s">
        <v>6</v>
      </c>
      <c r="B7" s="356" t="s">
        <v>7</v>
      </c>
      <c r="C7" s="335" t="s">
        <v>34</v>
      </c>
      <c r="D7" s="370"/>
      <c r="E7" s="371"/>
      <c r="F7" s="335" t="s">
        <v>35</v>
      </c>
      <c r="G7" s="370"/>
      <c r="H7" s="371"/>
      <c r="I7" s="335" t="s">
        <v>36</v>
      </c>
      <c r="J7" s="370"/>
      <c r="K7" s="371"/>
      <c r="L7" s="335" t="s">
        <v>37</v>
      </c>
      <c r="M7" s="370"/>
      <c r="N7" s="371"/>
      <c r="O7" s="334" t="s">
        <v>38</v>
      </c>
      <c r="P7" s="331" t="s">
        <v>39</v>
      </c>
      <c r="Q7" s="331" t="s">
        <v>40</v>
      </c>
      <c r="R7" s="331" t="s">
        <v>41</v>
      </c>
    </row>
    <row r="8" spans="1:27" s="11" customFormat="1" ht="12.6" customHeight="1" x14ac:dyDescent="0.2">
      <c r="A8" s="354"/>
      <c r="B8" s="357"/>
      <c r="C8" s="336"/>
      <c r="D8" s="372"/>
      <c r="E8" s="373"/>
      <c r="F8" s="336"/>
      <c r="G8" s="372"/>
      <c r="H8" s="373"/>
      <c r="I8" s="336"/>
      <c r="J8" s="372"/>
      <c r="K8" s="373"/>
      <c r="L8" s="336"/>
      <c r="M8" s="372"/>
      <c r="N8" s="373"/>
      <c r="O8" s="332"/>
      <c r="P8" s="332"/>
      <c r="Q8" s="332"/>
      <c r="R8" s="332"/>
    </row>
    <row r="9" spans="1:27" s="11" customFormat="1" ht="28.5" customHeight="1" thickBot="1" x14ac:dyDescent="0.25">
      <c r="A9" s="355"/>
      <c r="B9" s="358"/>
      <c r="C9" s="337"/>
      <c r="D9" s="374"/>
      <c r="E9" s="375"/>
      <c r="F9" s="337"/>
      <c r="G9" s="374"/>
      <c r="H9" s="375"/>
      <c r="I9" s="337"/>
      <c r="J9" s="374"/>
      <c r="K9" s="375"/>
      <c r="L9" s="337"/>
      <c r="M9" s="374"/>
      <c r="N9" s="375"/>
      <c r="O9" s="333"/>
      <c r="P9" s="333"/>
      <c r="Q9" s="333"/>
      <c r="R9" s="333"/>
    </row>
    <row r="10" spans="1:27" s="11" customFormat="1" ht="28.5" customHeight="1" thickBot="1" x14ac:dyDescent="0.25">
      <c r="A10" s="160"/>
      <c r="B10" s="161"/>
      <c r="C10" s="162" t="s">
        <v>42</v>
      </c>
      <c r="D10" s="162" t="s">
        <v>43</v>
      </c>
      <c r="E10" s="162" t="s">
        <v>44</v>
      </c>
      <c r="F10" s="162" t="s">
        <v>42</v>
      </c>
      <c r="G10" s="162" t="s">
        <v>43</v>
      </c>
      <c r="H10" s="162" t="s">
        <v>44</v>
      </c>
      <c r="I10" s="162" t="s">
        <v>42</v>
      </c>
      <c r="J10" s="162" t="s">
        <v>43</v>
      </c>
      <c r="K10" s="162" t="s">
        <v>44</v>
      </c>
      <c r="L10" s="162" t="s">
        <v>42</v>
      </c>
      <c r="M10" s="162" t="s">
        <v>43</v>
      </c>
      <c r="N10" s="162" t="s">
        <v>44</v>
      </c>
      <c r="O10" s="162"/>
      <c r="P10" s="122"/>
      <c r="Q10" s="122"/>
      <c r="R10" s="122"/>
    </row>
    <row r="11" spans="1:27" ht="18" x14ac:dyDescent="0.25">
      <c r="A11" s="101">
        <v>2020</v>
      </c>
      <c r="B11" s="90">
        <v>44012</v>
      </c>
      <c r="C11" s="91">
        <f>683184.65/1000</f>
        <v>683.18465000000003</v>
      </c>
      <c r="D11" s="91">
        <v>0</v>
      </c>
      <c r="E11" s="91">
        <v>0</v>
      </c>
      <c r="F11" s="91">
        <v>0</v>
      </c>
      <c r="G11" s="91">
        <v>0</v>
      </c>
      <c r="H11" s="91">
        <v>0</v>
      </c>
      <c r="I11" s="91">
        <v>0</v>
      </c>
      <c r="J11" s="91">
        <v>0</v>
      </c>
      <c r="K11" s="91">
        <v>0</v>
      </c>
      <c r="L11" s="91">
        <v>0</v>
      </c>
      <c r="M11" s="91">
        <v>0</v>
      </c>
      <c r="N11" s="91">
        <v>0</v>
      </c>
      <c r="O11" s="88">
        <f>SUM(C11:N11)</f>
        <v>683.18465000000003</v>
      </c>
      <c r="P11" s="88">
        <v>683.18465000000003</v>
      </c>
      <c r="Q11" s="118">
        <v>0</v>
      </c>
      <c r="R11" s="118"/>
      <c r="U11" s="12"/>
      <c r="V11" s="13"/>
      <c r="W11" s="13"/>
      <c r="X11" s="13"/>
      <c r="Y11" s="51"/>
      <c r="Z11" s="51"/>
      <c r="AA11" s="51"/>
    </row>
    <row r="12" spans="1:27" s="11" customFormat="1" ht="18" x14ac:dyDescent="0.25">
      <c r="A12" s="100">
        <v>2020</v>
      </c>
      <c r="B12" s="86">
        <v>44196</v>
      </c>
      <c r="C12" s="87">
        <f>1733848.36/1000</f>
        <v>1733.8483600000002</v>
      </c>
      <c r="D12" s="87">
        <v>0</v>
      </c>
      <c r="E12" s="87">
        <v>0</v>
      </c>
      <c r="F12" s="87">
        <v>0</v>
      </c>
      <c r="G12" s="87">
        <v>0</v>
      </c>
      <c r="H12" s="87">
        <v>0</v>
      </c>
      <c r="I12" s="87">
        <v>0</v>
      </c>
      <c r="J12" s="87">
        <v>0</v>
      </c>
      <c r="K12" s="87">
        <v>0</v>
      </c>
      <c r="L12" s="87">
        <v>0</v>
      </c>
      <c r="M12" s="87">
        <v>0</v>
      </c>
      <c r="N12" s="87">
        <v>0</v>
      </c>
      <c r="O12" s="88">
        <f t="shared" ref="O12:O24" si="0">SUM(C12:N12)</f>
        <v>1733.8483600000002</v>
      </c>
      <c r="P12" s="88">
        <v>1733.8483600000002</v>
      </c>
      <c r="Q12" s="118">
        <v>0</v>
      </c>
      <c r="R12" s="118"/>
      <c r="U12" s="14"/>
      <c r="V12" s="13"/>
      <c r="W12" s="13"/>
      <c r="X12" s="13"/>
      <c r="Y12" s="51"/>
      <c r="Z12" s="51"/>
      <c r="AA12" s="51"/>
    </row>
    <row r="13" spans="1:27" s="11" customFormat="1" ht="18" x14ac:dyDescent="0.25">
      <c r="A13" s="102">
        <v>2021</v>
      </c>
      <c r="B13" s="86">
        <v>44012</v>
      </c>
      <c r="C13" s="87">
        <v>2885.6317999999997</v>
      </c>
      <c r="D13" s="87">
        <v>0</v>
      </c>
      <c r="E13" s="87">
        <v>0.76300000000000001</v>
      </c>
      <c r="F13" s="87">
        <v>0</v>
      </c>
      <c r="G13" s="87">
        <v>0</v>
      </c>
      <c r="H13" s="87">
        <v>0</v>
      </c>
      <c r="I13" s="87">
        <f>518717/1000</f>
        <v>518.71699999999998</v>
      </c>
      <c r="J13" s="87">
        <v>0</v>
      </c>
      <c r="K13" s="87">
        <v>0</v>
      </c>
      <c r="L13" s="87">
        <v>0</v>
      </c>
      <c r="M13" s="87">
        <v>0</v>
      </c>
      <c r="N13" s="87">
        <v>0</v>
      </c>
      <c r="O13" s="88">
        <f t="shared" si="0"/>
        <v>3405.1117999999997</v>
      </c>
      <c r="P13" s="88">
        <v>3405.1117999999997</v>
      </c>
      <c r="Q13" s="118">
        <v>0</v>
      </c>
      <c r="R13" s="118"/>
      <c r="S13" s="13"/>
      <c r="T13" s="13"/>
      <c r="U13" s="13"/>
      <c r="V13" s="13"/>
      <c r="W13" s="13"/>
      <c r="X13" s="13"/>
      <c r="Y13" s="51"/>
      <c r="Z13" s="51"/>
      <c r="AA13" s="51"/>
    </row>
    <row r="14" spans="1:27" s="11" customFormat="1" ht="18" x14ac:dyDescent="0.25">
      <c r="A14" s="102">
        <v>2021</v>
      </c>
      <c r="B14" s="81">
        <v>44196</v>
      </c>
      <c r="C14" s="207">
        <f>926+1005.456</f>
        <v>1931.4560000000001</v>
      </c>
      <c r="D14" s="207">
        <f>159.88+15.393</f>
        <v>175.273</v>
      </c>
      <c r="E14" s="207">
        <f>3091.98+305.998</f>
        <v>3397.9780000000001</v>
      </c>
      <c r="F14" s="207">
        <f>1330.5+664.652</f>
        <v>1995.152</v>
      </c>
      <c r="G14" s="207">
        <v>43.14</v>
      </c>
      <c r="H14" s="207">
        <f>596.12+23.79+13</f>
        <v>632.91</v>
      </c>
      <c r="I14" s="207">
        <f>168.7+648.441</f>
        <v>817.14100000000008</v>
      </c>
      <c r="J14" s="207">
        <v>44.246000000000002</v>
      </c>
      <c r="K14" s="207">
        <f>596.06+2.079</f>
        <v>598.1389999999999</v>
      </c>
      <c r="L14" s="207">
        <f>898.35+6.54</f>
        <v>904.89</v>
      </c>
      <c r="M14" s="207">
        <f>48.27+12</f>
        <v>60.27</v>
      </c>
      <c r="N14" s="207">
        <f>684.47+2.356</f>
        <v>686.82600000000002</v>
      </c>
      <c r="O14" s="208">
        <f t="shared" si="0"/>
        <v>11287.420999999998</v>
      </c>
      <c r="P14" s="88">
        <f>O14+28</f>
        <v>11315.420999999998</v>
      </c>
      <c r="Q14" s="202">
        <f t="shared" ref="Q14:Q21" si="1">(+O14-P14)/P14</f>
        <v>-2.4744991812500837E-3</v>
      </c>
      <c r="R14" s="118"/>
      <c r="U14" s="14"/>
      <c r="V14" s="13"/>
      <c r="W14" s="13"/>
      <c r="X14" s="13"/>
      <c r="Y14" s="51"/>
      <c r="Z14" s="51"/>
      <c r="AA14" s="51"/>
    </row>
    <row r="15" spans="1:27" s="11" customFormat="1" ht="18" x14ac:dyDescent="0.25">
      <c r="A15" s="103">
        <v>2022</v>
      </c>
      <c r="B15" s="92">
        <v>44012</v>
      </c>
      <c r="C15" s="87">
        <v>2215.7114600000045</v>
      </c>
      <c r="D15" s="87">
        <v>238.75445999999994</v>
      </c>
      <c r="E15" s="87">
        <v>3219.8710100000271</v>
      </c>
      <c r="F15" s="87">
        <f>205274/1000</f>
        <v>205.274</v>
      </c>
      <c r="G15" s="87">
        <v>38.603819999999992</v>
      </c>
      <c r="H15" s="87">
        <f>58870/1000</f>
        <v>58.87</v>
      </c>
      <c r="I15" s="87">
        <v>176.32397000000003</v>
      </c>
      <c r="J15" s="87">
        <v>36.108040000000045</v>
      </c>
      <c r="K15" s="87">
        <v>61.940350000000009</v>
      </c>
      <c r="L15" s="87">
        <f>88578/1000</f>
        <v>88.578000000000003</v>
      </c>
      <c r="M15" s="87">
        <f>2721/1000</f>
        <v>2.7210000000000001</v>
      </c>
      <c r="N15" s="87">
        <f>32339/1000</f>
        <v>32.338999999999999</v>
      </c>
      <c r="O15" s="88">
        <f t="shared" si="0"/>
        <v>6375.0951100000329</v>
      </c>
      <c r="P15" s="88">
        <v>4671.91</v>
      </c>
      <c r="Q15" s="118">
        <f t="shared" si="1"/>
        <v>0.36455863019622237</v>
      </c>
      <c r="R15" s="278" t="s">
        <v>28</v>
      </c>
      <c r="S15" s="267"/>
      <c r="T15" s="267"/>
      <c r="U15" s="267"/>
      <c r="V15" s="268"/>
      <c r="W15" s="268"/>
      <c r="X15" s="268"/>
      <c r="Y15" s="269"/>
      <c r="Z15" s="269"/>
      <c r="AA15" s="269"/>
    </row>
    <row r="16" spans="1:27" s="11" customFormat="1" ht="18" x14ac:dyDescent="0.25">
      <c r="A16" s="100">
        <v>2022</v>
      </c>
      <c r="B16" s="86">
        <v>44196</v>
      </c>
      <c r="C16" s="87">
        <v>3349.6800800000001</v>
      </c>
      <c r="D16" s="87">
        <v>939.0034499999997</v>
      </c>
      <c r="E16" s="87">
        <v>6972.5584300000019</v>
      </c>
      <c r="F16" s="87">
        <v>23.358110000000011</v>
      </c>
      <c r="G16" s="87">
        <v>661.73163000000011</v>
      </c>
      <c r="H16" s="87">
        <v>162.67897000000002</v>
      </c>
      <c r="I16" s="87">
        <v>0.43809000000002563</v>
      </c>
      <c r="J16" s="87">
        <v>675.20710999999983</v>
      </c>
      <c r="K16" s="87">
        <v>160.99140000000003</v>
      </c>
      <c r="L16" s="87">
        <v>41.578350000000007</v>
      </c>
      <c r="M16" s="87">
        <v>726.35312999999996</v>
      </c>
      <c r="N16" s="87">
        <v>130.82080000000002</v>
      </c>
      <c r="O16" s="88">
        <f t="shared" si="0"/>
        <v>13844.399550000002</v>
      </c>
      <c r="P16" s="88">
        <v>14461</v>
      </c>
      <c r="Q16" s="118">
        <f t="shared" si="1"/>
        <v>-4.2638852776433034E-2</v>
      </c>
      <c r="R16" s="118"/>
      <c r="U16" s="42"/>
      <c r="V16" s="270"/>
      <c r="W16" s="270"/>
      <c r="X16" s="270"/>
      <c r="Y16" s="51"/>
      <c r="Z16" s="51"/>
      <c r="AA16" s="51"/>
    </row>
    <row r="17" spans="1:28" s="11" customFormat="1" ht="18" x14ac:dyDescent="0.25">
      <c r="A17" s="103">
        <v>2023</v>
      </c>
      <c r="B17" s="92">
        <v>44012</v>
      </c>
      <c r="C17" s="87">
        <v>5825.5529999999926</v>
      </c>
      <c r="D17" s="87">
        <v>3173.6910499999976</v>
      </c>
      <c r="E17" s="87">
        <v>6580.9188899999917</v>
      </c>
      <c r="F17" s="87">
        <v>196.28194999999997</v>
      </c>
      <c r="G17" s="87">
        <v>37.629929999999987</v>
      </c>
      <c r="H17" s="87">
        <v>241.39387000000002</v>
      </c>
      <c r="I17" s="87">
        <v>730.07346999999993</v>
      </c>
      <c r="J17" s="87">
        <v>37.838130000000021</v>
      </c>
      <c r="K17" s="87">
        <v>254.2320500000001</v>
      </c>
      <c r="L17" s="87">
        <v>42.649819999999991</v>
      </c>
      <c r="M17" s="87">
        <v>39.831750000000085</v>
      </c>
      <c r="N17" s="87">
        <v>268.7677799999999</v>
      </c>
      <c r="O17" s="88">
        <f t="shared" si="0"/>
        <v>17428.86168999998</v>
      </c>
      <c r="P17" s="88">
        <v>18095.7</v>
      </c>
      <c r="Q17" s="118">
        <f t="shared" si="1"/>
        <v>-3.6850650154457744E-2</v>
      </c>
      <c r="R17" s="118"/>
      <c r="U17" s="42"/>
      <c r="V17" s="13"/>
      <c r="W17" s="13"/>
      <c r="X17" s="13"/>
      <c r="Y17" s="51"/>
      <c r="Z17" s="51"/>
      <c r="AA17" s="51"/>
    </row>
    <row r="18" spans="1:28" s="11" customFormat="1" ht="18" x14ac:dyDescent="0.25">
      <c r="A18" s="100">
        <v>2023</v>
      </c>
      <c r="B18" s="86">
        <v>44196</v>
      </c>
      <c r="C18" s="87">
        <v>4899.4362399999964</v>
      </c>
      <c r="D18" s="87">
        <v>1818.9074700000015</v>
      </c>
      <c r="E18" s="87">
        <v>9683.2923100000007</v>
      </c>
      <c r="F18" s="87">
        <v>103.76332999999997</v>
      </c>
      <c r="G18" s="87">
        <v>26.81875999999998</v>
      </c>
      <c r="H18" s="87">
        <v>387.99697000000003</v>
      </c>
      <c r="I18" s="87">
        <v>945.05817000000036</v>
      </c>
      <c r="J18" s="87">
        <v>89.040849999999992</v>
      </c>
      <c r="K18" s="87">
        <v>193.52884000000003</v>
      </c>
      <c r="L18" s="87">
        <v>2234.7019999999989</v>
      </c>
      <c r="M18" s="87">
        <v>28.21303</v>
      </c>
      <c r="N18" s="87">
        <v>350.75713999999999</v>
      </c>
      <c r="O18" s="88">
        <f t="shared" si="0"/>
        <v>20761.515109999997</v>
      </c>
      <c r="P18" s="88">
        <v>14532.300000000001</v>
      </c>
      <c r="Q18" s="200">
        <f t="shared" si="1"/>
        <v>0.42864619571575008</v>
      </c>
      <c r="R18" s="118"/>
      <c r="U18" s="14"/>
      <c r="V18" s="13"/>
      <c r="W18" s="13"/>
      <c r="X18" s="13"/>
      <c r="Y18" s="51"/>
      <c r="Z18" s="51"/>
      <c r="AA18" s="51"/>
    </row>
    <row r="19" spans="1:28" s="11" customFormat="1" ht="18" x14ac:dyDescent="0.25">
      <c r="A19" s="102">
        <v>2024</v>
      </c>
      <c r="B19" s="86">
        <v>44012</v>
      </c>
      <c r="C19" s="87">
        <v>5172.741990000025</v>
      </c>
      <c r="D19" s="87">
        <v>1174.7311500000003</v>
      </c>
      <c r="E19" s="87">
        <v>6122.038199999989</v>
      </c>
      <c r="F19" s="87">
        <v>214.39117999999991</v>
      </c>
      <c r="G19" s="87">
        <v>34.855149999999988</v>
      </c>
      <c r="H19" s="87">
        <v>74.458780000000004</v>
      </c>
      <c r="I19" s="87">
        <v>971.79798000000039</v>
      </c>
      <c r="J19" s="87">
        <v>1445.2583099999995</v>
      </c>
      <c r="K19" s="87">
        <v>2674.3521300000007</v>
      </c>
      <c r="L19" s="87">
        <v>196.88300999999979</v>
      </c>
      <c r="M19" s="87">
        <v>95.789770000000004</v>
      </c>
      <c r="N19" s="87">
        <v>76.227620000000002</v>
      </c>
      <c r="O19" s="88">
        <f t="shared" si="0"/>
        <v>18253.52527000002</v>
      </c>
      <c r="P19" s="88">
        <v>12223.68</v>
      </c>
      <c r="Q19" s="200">
        <f t="shared" si="1"/>
        <v>0.49329214033744501</v>
      </c>
      <c r="R19" s="118"/>
      <c r="U19" s="43"/>
      <c r="V19" s="13"/>
      <c r="W19" s="13"/>
      <c r="X19" s="13"/>
      <c r="Y19" s="51"/>
      <c r="Z19" s="51"/>
      <c r="AA19" s="51"/>
    </row>
    <row r="20" spans="1:28" s="11" customFormat="1" ht="18" x14ac:dyDescent="0.25">
      <c r="A20" s="102">
        <v>2024</v>
      </c>
      <c r="B20" s="86">
        <v>44196</v>
      </c>
      <c r="C20" s="87">
        <v>3895.0714400000043</v>
      </c>
      <c r="D20" s="87">
        <v>420.46660000000003</v>
      </c>
      <c r="E20" s="87">
        <v>8868.9807699999874</v>
      </c>
      <c r="F20" s="87">
        <v>823.24970999999937</v>
      </c>
      <c r="G20" s="87">
        <v>124.68060999999999</v>
      </c>
      <c r="H20" s="87">
        <v>1141.2509999999995</v>
      </c>
      <c r="I20" s="87">
        <v>1949.658089999999</v>
      </c>
      <c r="J20" s="87">
        <v>121.08727000000002</v>
      </c>
      <c r="K20" s="87">
        <v>1721.9525499999963</v>
      </c>
      <c r="L20" s="87">
        <v>2235.4061499999993</v>
      </c>
      <c r="M20" s="87">
        <v>137.78310000000002</v>
      </c>
      <c r="N20" s="87">
        <v>1030.9619699999998</v>
      </c>
      <c r="O20" s="88">
        <f t="shared" si="0"/>
        <v>22470.549259999985</v>
      </c>
      <c r="P20" s="88">
        <v>13242.32</v>
      </c>
      <c r="Q20" s="200">
        <f t="shared" si="1"/>
        <v>0.69687405681179626</v>
      </c>
      <c r="R20" s="118"/>
      <c r="U20" s="14"/>
      <c r="V20" s="13"/>
      <c r="W20" s="13"/>
      <c r="X20" s="13"/>
      <c r="Y20" s="51"/>
      <c r="Z20" s="51"/>
      <c r="AA20" s="51"/>
    </row>
    <row r="21" spans="1:28" s="11" customFormat="1" ht="18" x14ac:dyDescent="0.25">
      <c r="A21" s="102">
        <v>2025</v>
      </c>
      <c r="B21" s="92">
        <v>44012</v>
      </c>
      <c r="C21" s="87">
        <v>3071.4420199999968</v>
      </c>
      <c r="D21" s="87">
        <v>345.40238000000011</v>
      </c>
      <c r="E21" s="87">
        <v>4289.0138399999978</v>
      </c>
      <c r="F21" s="87">
        <v>371.61118999999974</v>
      </c>
      <c r="G21" s="87">
        <v>1178.2700800000005</v>
      </c>
      <c r="H21" s="87">
        <v>292.55022999999989</v>
      </c>
      <c r="I21" s="87">
        <v>3757.6508399999934</v>
      </c>
      <c r="J21" s="87">
        <v>2127.707460000001</v>
      </c>
      <c r="K21" s="87">
        <v>674.39291000000128</v>
      </c>
      <c r="L21" s="87">
        <v>1416.5813399999984</v>
      </c>
      <c r="M21" s="87">
        <v>298.74453</v>
      </c>
      <c r="N21" s="87">
        <v>2122.6001599999981</v>
      </c>
      <c r="O21" s="88">
        <f t="shared" si="0"/>
        <v>19945.966979999987</v>
      </c>
      <c r="P21" s="88">
        <v>11814.674999999999</v>
      </c>
      <c r="Q21" s="200">
        <f t="shared" si="1"/>
        <v>0.6882366192891457</v>
      </c>
      <c r="R21" s="118"/>
      <c r="S21" s="20"/>
      <c r="U21" s="14"/>
      <c r="V21" s="13"/>
      <c r="W21" s="13"/>
      <c r="X21" s="13"/>
      <c r="Y21" s="51"/>
      <c r="Z21" s="51"/>
      <c r="AA21" s="51"/>
    </row>
    <row r="22" spans="1:28" s="11" customFormat="1" ht="18" x14ac:dyDescent="0.25">
      <c r="A22" s="102">
        <v>2025</v>
      </c>
      <c r="B22" s="86">
        <v>44196</v>
      </c>
      <c r="C22" s="87"/>
      <c r="D22" s="87"/>
      <c r="E22" s="87"/>
      <c r="F22" s="87"/>
      <c r="G22" s="87"/>
      <c r="H22" s="87"/>
      <c r="I22" s="87"/>
      <c r="J22" s="87"/>
      <c r="K22" s="87"/>
      <c r="L22" s="87"/>
      <c r="M22" s="87"/>
      <c r="N22" s="87"/>
      <c r="O22" s="88">
        <f t="shared" si="0"/>
        <v>0</v>
      </c>
      <c r="P22" s="88">
        <v>12996.1425</v>
      </c>
      <c r="Q22" s="200"/>
      <c r="R22" s="118"/>
      <c r="S22" s="20"/>
      <c r="U22" s="14"/>
      <c r="V22" s="13"/>
      <c r="W22" s="13"/>
      <c r="X22" s="13"/>
      <c r="Y22" s="51"/>
      <c r="Z22" s="51"/>
      <c r="AA22" s="51"/>
    </row>
    <row r="23" spans="1:28" s="11" customFormat="1" ht="18" x14ac:dyDescent="0.25">
      <c r="A23" s="102">
        <f>A21+1</f>
        <v>2026</v>
      </c>
      <c r="B23" s="86">
        <v>44012</v>
      </c>
      <c r="C23" s="87"/>
      <c r="D23" s="87"/>
      <c r="E23" s="87"/>
      <c r="F23" s="87"/>
      <c r="G23" s="87"/>
      <c r="H23" s="87"/>
      <c r="I23" s="87"/>
      <c r="J23" s="87"/>
      <c r="K23" s="87"/>
      <c r="L23" s="87"/>
      <c r="M23" s="87"/>
      <c r="N23" s="87"/>
      <c r="O23" s="88">
        <f t="shared" si="0"/>
        <v>0</v>
      </c>
      <c r="P23" s="88">
        <v>13695.000000000002</v>
      </c>
      <c r="Q23" s="200"/>
      <c r="R23" s="193"/>
      <c r="S23" s="20"/>
      <c r="U23" s="14"/>
      <c r="V23" s="13"/>
      <c r="W23" s="13"/>
      <c r="X23" s="13"/>
      <c r="Y23" s="51"/>
      <c r="Z23" s="51"/>
      <c r="AA23" s="51"/>
    </row>
    <row r="24" spans="1:28" s="11" customFormat="1" ht="18" x14ac:dyDescent="0.25">
      <c r="A24" s="102">
        <f>A22+1</f>
        <v>2026</v>
      </c>
      <c r="B24" s="86">
        <v>44196</v>
      </c>
      <c r="C24" s="87"/>
      <c r="D24" s="87"/>
      <c r="E24" s="87"/>
      <c r="F24" s="87"/>
      <c r="G24" s="87"/>
      <c r="H24" s="87"/>
      <c r="I24" s="87"/>
      <c r="J24" s="87"/>
      <c r="K24" s="87"/>
      <c r="L24" s="87"/>
      <c r="M24" s="87"/>
      <c r="N24" s="87"/>
      <c r="O24" s="88">
        <f t="shared" si="0"/>
        <v>0</v>
      </c>
      <c r="P24" s="88">
        <v>11205</v>
      </c>
      <c r="Q24" s="200"/>
      <c r="R24" s="193"/>
      <c r="S24" s="20"/>
      <c r="U24" s="14"/>
      <c r="V24" s="13"/>
      <c r="W24" s="13"/>
      <c r="X24" s="13"/>
      <c r="Y24" s="51"/>
      <c r="Z24" s="51"/>
      <c r="AA24" s="51"/>
    </row>
    <row r="25" spans="1:28" s="11" customFormat="1" ht="18" x14ac:dyDescent="0.25">
      <c r="A25" s="102">
        <f t="shared" ref="A25:A26" si="2">A23+1</f>
        <v>2027</v>
      </c>
      <c r="B25" s="92">
        <v>44012</v>
      </c>
      <c r="C25" s="93"/>
      <c r="D25" s="93"/>
      <c r="E25" s="93"/>
      <c r="F25" s="93"/>
      <c r="G25" s="93"/>
      <c r="H25" s="93"/>
      <c r="I25" s="93"/>
      <c r="J25" s="93"/>
      <c r="K25" s="93"/>
      <c r="L25" s="93"/>
      <c r="M25" s="93"/>
      <c r="N25" s="93"/>
      <c r="O25" s="94"/>
      <c r="P25" s="94"/>
      <c r="Q25" s="105"/>
      <c r="R25" s="193"/>
      <c r="S25" s="20"/>
      <c r="U25" s="14"/>
      <c r="V25" s="13"/>
      <c r="W25" s="13"/>
      <c r="X25" s="13"/>
      <c r="Y25" s="51"/>
      <c r="Z25" s="51"/>
      <c r="AA25" s="51"/>
    </row>
    <row r="26" spans="1:28" s="11" customFormat="1" ht="18.75" thickBot="1" x14ac:dyDescent="0.3">
      <c r="A26" s="104">
        <f t="shared" si="2"/>
        <v>2027</v>
      </c>
      <c r="B26" s="95">
        <v>44196</v>
      </c>
      <c r="C26" s="96"/>
      <c r="D26" s="96"/>
      <c r="E26" s="96"/>
      <c r="F26" s="96"/>
      <c r="G26" s="96"/>
      <c r="H26" s="96"/>
      <c r="I26" s="96"/>
      <c r="J26" s="96"/>
      <c r="K26" s="96"/>
      <c r="L26" s="96"/>
      <c r="M26" s="96"/>
      <c r="N26" s="96"/>
      <c r="O26" s="94"/>
      <c r="P26" s="126"/>
      <c r="Q26" s="106"/>
      <c r="R26" s="194"/>
      <c r="S26" s="20"/>
      <c r="U26" s="14"/>
      <c r="V26" s="13"/>
      <c r="W26" s="13"/>
      <c r="X26" s="13"/>
      <c r="Y26" s="51"/>
      <c r="Z26" s="51"/>
      <c r="AA26" s="51"/>
    </row>
    <row r="27" spans="1:28" s="11" customFormat="1" ht="18.75" thickBot="1" x14ac:dyDescent="0.3">
      <c r="A27" s="351" t="s">
        <v>24</v>
      </c>
      <c r="B27" s="352"/>
      <c r="C27" s="89">
        <f>SUM(C11:C26)</f>
        <v>35663.757040000019</v>
      </c>
      <c r="D27" s="89">
        <f t="shared" ref="D27" si="3">SUM(D11:D26)</f>
        <v>8286.2295599999998</v>
      </c>
      <c r="E27" s="89">
        <f t="shared" ref="E27" si="4">SUM(E11:E26)</f>
        <v>49135.414449999997</v>
      </c>
      <c r="F27" s="89">
        <f t="shared" ref="F27" si="5">SUM(F11:F26)</f>
        <v>3933.0814699999992</v>
      </c>
      <c r="G27" s="89">
        <f t="shared" ref="G27" si="6">SUM(G11:G26)</f>
        <v>2145.7299800000005</v>
      </c>
      <c r="H27" s="89">
        <f t="shared" ref="H27" si="7">SUM(H11:H26)</f>
        <v>2992.1098199999997</v>
      </c>
      <c r="I27" s="89">
        <f t="shared" ref="I27" si="8">SUM(I11:I26)</f>
        <v>9866.8586099999939</v>
      </c>
      <c r="J27" s="89">
        <f t="shared" ref="J27" si="9">SUM(J11:J26)</f>
        <v>4576.4931699999997</v>
      </c>
      <c r="K27" s="89">
        <f t="shared" ref="K27" si="10">SUM(K11:K26)</f>
        <v>6339.5292299999983</v>
      </c>
      <c r="L27" s="89">
        <f t="shared" ref="L27" si="11">SUM(L11:L26)</f>
        <v>7161.2686699999977</v>
      </c>
      <c r="M27" s="89">
        <f t="shared" ref="M27" si="12">SUM(M11:M26)</f>
        <v>1389.70631</v>
      </c>
      <c r="N27" s="89">
        <f t="shared" ref="N27" si="13">SUM(N11:N26)</f>
        <v>4699.3004699999983</v>
      </c>
      <c r="O27" s="89">
        <f>SUM(O11:O26)</f>
        <v>136189.47878</v>
      </c>
      <c r="P27" s="89">
        <f>SUM(P11:P26)</f>
        <v>144075.29331000001</v>
      </c>
      <c r="Q27" s="119">
        <f>(P28-P27)/P27</f>
        <v>0.32416268060096043</v>
      </c>
      <c r="R27" s="258" t="s">
        <v>55</v>
      </c>
      <c r="U27" s="59"/>
      <c r="V27" s="14"/>
      <c r="W27" s="13"/>
      <c r="X27" s="13"/>
      <c r="Y27" s="13"/>
      <c r="Z27" s="51"/>
      <c r="AA27" s="51"/>
      <c r="AB27" s="51"/>
    </row>
    <row r="28" spans="1:28" s="11" customFormat="1" ht="16.5" customHeight="1" thickBot="1" x14ac:dyDescent="0.25">
      <c r="B28" s="16"/>
      <c r="C28" s="17"/>
      <c r="D28" s="17"/>
      <c r="E28" s="18"/>
      <c r="F28" s="18"/>
      <c r="G28" s="17"/>
      <c r="H28" s="17"/>
      <c r="I28" s="19"/>
      <c r="J28" s="19"/>
      <c r="K28" s="19"/>
      <c r="L28" s="19"/>
      <c r="M28" s="19"/>
      <c r="N28" s="382" t="s">
        <v>46</v>
      </c>
      <c r="O28" s="383"/>
      <c r="P28" s="89">
        <v>190779.12659773923</v>
      </c>
      <c r="R28" s="59"/>
    </row>
    <row r="29" spans="1:28" s="11" customFormat="1" x14ac:dyDescent="0.2">
      <c r="A29" s="8" t="s">
        <v>25</v>
      </c>
      <c r="G29" s="37"/>
      <c r="H29" s="37"/>
      <c r="I29" s="38"/>
      <c r="J29" s="38"/>
      <c r="K29" s="38"/>
      <c r="L29" s="38"/>
      <c r="M29" s="38"/>
      <c r="Q29" s="15"/>
      <c r="R29" s="59"/>
    </row>
    <row r="30" spans="1:28" ht="15" x14ac:dyDescent="0.2">
      <c r="A30" s="6"/>
      <c r="E30" s="21"/>
      <c r="F30" s="21"/>
      <c r="O30" s="165"/>
      <c r="P30" s="165"/>
      <c r="Q30" s="22"/>
      <c r="R30" s="36"/>
    </row>
    <row r="31" spans="1:28" s="11" customFormat="1" ht="18.75" customHeight="1" thickBot="1" x14ac:dyDescent="0.3">
      <c r="A31" s="75" t="s">
        <v>26</v>
      </c>
      <c r="B31" s="384"/>
      <c r="C31" s="385"/>
      <c r="D31" s="385"/>
      <c r="E31" s="385"/>
      <c r="F31" s="385"/>
      <c r="G31" s="385"/>
      <c r="H31" s="385"/>
      <c r="I31" s="385"/>
      <c r="J31" s="385"/>
      <c r="K31" s="385"/>
      <c r="L31" s="385"/>
      <c r="M31" s="385"/>
      <c r="N31" s="386"/>
      <c r="O31" s="165"/>
      <c r="P31" s="201"/>
      <c r="Q31" s="15"/>
    </row>
    <row r="32" spans="1:28" s="11" customFormat="1" ht="23.25" customHeight="1" thickBot="1" x14ac:dyDescent="0.25">
      <c r="A32" s="61" t="s">
        <v>27</v>
      </c>
      <c r="B32" s="379" t="s">
        <v>56</v>
      </c>
      <c r="C32" s="380"/>
      <c r="D32" s="380"/>
      <c r="E32" s="380"/>
      <c r="F32" s="380"/>
      <c r="G32" s="380"/>
      <c r="H32" s="380"/>
      <c r="I32" s="380"/>
      <c r="J32" s="380"/>
      <c r="K32" s="380"/>
      <c r="L32" s="380"/>
      <c r="M32" s="380"/>
      <c r="N32" s="381"/>
      <c r="O32" s="165"/>
      <c r="P32" s="165"/>
      <c r="Q32" s="15"/>
    </row>
    <row r="33" spans="1:17" s="11" customFormat="1" ht="23.25" customHeight="1" thickBot="1" x14ac:dyDescent="0.25">
      <c r="A33" s="61" t="s">
        <v>28</v>
      </c>
      <c r="B33" s="348" t="s">
        <v>57</v>
      </c>
      <c r="C33" s="349"/>
      <c r="D33" s="349"/>
      <c r="E33" s="349"/>
      <c r="F33" s="349"/>
      <c r="G33" s="349"/>
      <c r="H33" s="349"/>
      <c r="I33" s="349"/>
      <c r="J33" s="349"/>
      <c r="K33" s="349"/>
      <c r="L33" s="349"/>
      <c r="M33" s="349"/>
      <c r="N33" s="350"/>
      <c r="O33" s="165"/>
      <c r="P33" s="165"/>
      <c r="Q33" s="15"/>
    </row>
    <row r="34" spans="1:17" s="11" customFormat="1" ht="46.5" customHeight="1" thickBot="1" x14ac:dyDescent="0.25">
      <c r="A34" s="61" t="s">
        <v>29</v>
      </c>
      <c r="B34" s="348" t="s">
        <v>58</v>
      </c>
      <c r="C34" s="349"/>
      <c r="D34" s="349"/>
      <c r="E34" s="349"/>
      <c r="F34" s="349"/>
      <c r="G34" s="349"/>
      <c r="H34" s="349"/>
      <c r="I34" s="349"/>
      <c r="J34" s="349"/>
      <c r="K34" s="349"/>
      <c r="L34" s="349"/>
      <c r="M34" s="349"/>
      <c r="N34" s="350"/>
      <c r="O34" s="165"/>
      <c r="P34" s="165"/>
      <c r="Q34" s="15"/>
    </row>
    <row r="35" spans="1:17" ht="16.350000000000001" customHeight="1" x14ac:dyDescent="0.2">
      <c r="A35" s="62"/>
      <c r="B35" s="158"/>
      <c r="C35" s="158"/>
      <c r="D35" s="158"/>
      <c r="E35" s="158"/>
      <c r="F35" s="158"/>
      <c r="G35" s="158"/>
      <c r="H35" s="158"/>
      <c r="I35" s="158"/>
      <c r="J35" s="158"/>
      <c r="K35" s="158"/>
      <c r="L35" s="158"/>
      <c r="M35" s="158"/>
      <c r="N35" s="158"/>
      <c r="O35" s="165"/>
      <c r="P35" s="165"/>
      <c r="Q35" s="22"/>
    </row>
    <row r="36" spans="1:17" ht="15" x14ac:dyDescent="0.2">
      <c r="A36" s="1" t="s">
        <v>51</v>
      </c>
      <c r="O36" s="165"/>
      <c r="P36" s="165"/>
      <c r="Q36" s="22"/>
    </row>
    <row r="37" spans="1:17" x14ac:dyDescent="0.2">
      <c r="A37" s="1" t="s">
        <v>59</v>
      </c>
      <c r="C37" s="216"/>
      <c r="D37" s="216"/>
      <c r="Q37" s="22"/>
    </row>
    <row r="38" spans="1:17" x14ac:dyDescent="0.2">
      <c r="A38" s="1" t="s">
        <v>60</v>
      </c>
      <c r="C38" s="23"/>
      <c r="D38" s="23"/>
      <c r="Q38" s="22"/>
    </row>
    <row r="39" spans="1:17" x14ac:dyDescent="0.2">
      <c r="A39"/>
      <c r="B39"/>
      <c r="C39" s="23"/>
      <c r="D39" s="23"/>
      <c r="Q39" s="22"/>
    </row>
    <row r="40" spans="1:17" x14ac:dyDescent="0.2">
      <c r="Q40" s="22"/>
    </row>
    <row r="41" spans="1:17" x14ac:dyDescent="0.2">
      <c r="Q41" s="22"/>
    </row>
    <row r="42" spans="1:17" x14ac:dyDescent="0.2">
      <c r="G42" s="44"/>
      <c r="H42" s="44"/>
      <c r="Q42" s="22"/>
    </row>
    <row r="43" spans="1:17" x14ac:dyDescent="0.2">
      <c r="Q43" s="22"/>
    </row>
    <row r="44" spans="1:17" x14ac:dyDescent="0.2">
      <c r="Q44" s="22"/>
    </row>
    <row r="45" spans="1:17" x14ac:dyDescent="0.2">
      <c r="Q45" s="22"/>
    </row>
    <row r="46" spans="1:17" x14ac:dyDescent="0.2">
      <c r="Q46" s="22"/>
    </row>
    <row r="47" spans="1:17" x14ac:dyDescent="0.2">
      <c r="Q47" s="22"/>
    </row>
    <row r="48" spans="1:17" x14ac:dyDescent="0.2">
      <c r="Q48" s="22"/>
    </row>
    <row r="49" spans="17:17" x14ac:dyDescent="0.2">
      <c r="Q49" s="22"/>
    </row>
    <row r="50" spans="17:17" x14ac:dyDescent="0.2">
      <c r="Q50" s="22"/>
    </row>
    <row r="51" spans="17:17" x14ac:dyDescent="0.2">
      <c r="Q51" s="22"/>
    </row>
    <row r="52" spans="17:17" x14ac:dyDescent="0.2">
      <c r="Q52" s="22"/>
    </row>
    <row r="53" spans="17:17" x14ac:dyDescent="0.2">
      <c r="Q53" s="22"/>
    </row>
    <row r="54" spans="17:17" x14ac:dyDescent="0.2">
      <c r="Q54" s="22"/>
    </row>
    <row r="55" spans="17:17" x14ac:dyDescent="0.2">
      <c r="Q55" s="22"/>
    </row>
    <row r="56" spans="17:17" x14ac:dyDescent="0.2">
      <c r="Q56" s="22"/>
    </row>
    <row r="57" spans="17:17" x14ac:dyDescent="0.2">
      <c r="Q57" s="22"/>
    </row>
    <row r="58" spans="17:17" x14ac:dyDescent="0.2">
      <c r="Q58" s="22"/>
    </row>
    <row r="59" spans="17:17" x14ac:dyDescent="0.2">
      <c r="Q59" s="22"/>
    </row>
    <row r="60" spans="17:17" x14ac:dyDescent="0.2">
      <c r="Q60" s="22"/>
    </row>
    <row r="61" spans="17:17" x14ac:dyDescent="0.2">
      <c r="Q61" s="22"/>
    </row>
    <row r="62" spans="17:17" x14ac:dyDescent="0.2">
      <c r="Q62" s="22"/>
    </row>
    <row r="63" spans="17:17" x14ac:dyDescent="0.2">
      <c r="Q63" s="22"/>
    </row>
    <row r="64" spans="17:17" x14ac:dyDescent="0.2">
      <c r="Q64" s="22"/>
    </row>
    <row r="65" spans="17:28" x14ac:dyDescent="0.2">
      <c r="Q65" s="22"/>
    </row>
    <row r="66" spans="17:28" ht="18" x14ac:dyDescent="0.2">
      <c r="Q66" s="22"/>
      <c r="AB66" s="217"/>
    </row>
  </sheetData>
  <mergeCells count="21">
    <mergeCell ref="B34:N34"/>
    <mergeCell ref="O7:O9"/>
    <mergeCell ref="P7:P9"/>
    <mergeCell ref="Q7:Q9"/>
    <mergeCell ref="C7:E9"/>
    <mergeCell ref="F7:H9"/>
    <mergeCell ref="I7:K9"/>
    <mergeCell ref="L7:N9"/>
    <mergeCell ref="B31:N31"/>
    <mergeCell ref="B32:N32"/>
    <mergeCell ref="B33:N33"/>
    <mergeCell ref="A27:B27"/>
    <mergeCell ref="N28:O28"/>
    <mergeCell ref="R7:R9"/>
    <mergeCell ref="A1:Q1"/>
    <mergeCell ref="A2:Q2"/>
    <mergeCell ref="A3:Q3"/>
    <mergeCell ref="A4:Q4"/>
    <mergeCell ref="A7:A9"/>
    <mergeCell ref="B7:B9"/>
    <mergeCell ref="A6:N6"/>
  </mergeCells>
  <printOptions horizontalCentered="1"/>
  <pageMargins left="0.67" right="0.65" top="0.78" bottom="0.75" header="0.52" footer="0.3"/>
  <pageSetup scale="31" fitToHeight="2" orientation="landscape" r:id="rId1"/>
  <headerFooter alignWithMargins="0">
    <oddHeader>&amp;R&amp;F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6528B-66C3-4C31-BAEF-12B545F40260}">
  <dimension ref="A1:R61"/>
  <sheetViews>
    <sheetView view="pageLayout" topLeftCell="A3" zoomScaleNormal="80" workbookViewId="0">
      <selection sqref="A1:K1"/>
    </sheetView>
  </sheetViews>
  <sheetFormatPr defaultColWidth="9.42578125" defaultRowHeight="12.75" x14ac:dyDescent="0.2"/>
  <cols>
    <col min="1" max="1" width="18.42578125" style="1" bestFit="1" customWidth="1"/>
    <col min="2" max="2" width="23.42578125" style="1" customWidth="1"/>
    <col min="3" max="8" width="15.5703125" style="1" customWidth="1"/>
    <col min="9" max="11" width="20.42578125" style="1" customWidth="1"/>
    <col min="12" max="12" width="13.42578125" style="1" customWidth="1"/>
    <col min="13" max="13" width="14.42578125" style="1" bestFit="1" customWidth="1"/>
    <col min="14" max="14" width="12.5703125" style="1" bestFit="1" customWidth="1"/>
    <col min="15" max="15" width="11.5703125" style="1" bestFit="1" customWidth="1"/>
    <col min="16" max="16" width="10.42578125" style="1" bestFit="1" customWidth="1"/>
    <col min="17" max="17" width="13.140625" style="1" bestFit="1" customWidth="1"/>
    <col min="18" max="22" width="9.42578125" style="1"/>
    <col min="23" max="23" width="17.5703125" style="1" bestFit="1" customWidth="1"/>
    <col min="24" max="24" width="19.42578125" style="1" bestFit="1" customWidth="1"/>
    <col min="25" max="26" width="15.42578125" style="1" bestFit="1" customWidth="1"/>
    <col min="27" max="16384" width="9.42578125" style="1"/>
  </cols>
  <sheetData>
    <row r="1" spans="1:17" ht="18" x14ac:dyDescent="0.25">
      <c r="A1" s="361" t="s">
        <v>444</v>
      </c>
      <c r="B1" s="361"/>
      <c r="C1" s="361"/>
      <c r="D1" s="361"/>
      <c r="E1" s="361"/>
      <c r="F1" s="361"/>
      <c r="G1" s="361"/>
      <c r="H1" s="361"/>
      <c r="I1" s="361"/>
      <c r="J1" s="361"/>
      <c r="K1" s="361"/>
    </row>
    <row r="2" spans="1:17" ht="18" x14ac:dyDescent="0.25">
      <c r="A2" s="361" t="s">
        <v>0</v>
      </c>
      <c r="B2" s="361"/>
      <c r="C2" s="361"/>
      <c r="D2" s="361"/>
      <c r="E2" s="361"/>
      <c r="F2" s="361"/>
      <c r="G2" s="361"/>
      <c r="H2" s="361"/>
      <c r="I2" s="361"/>
      <c r="J2" s="361"/>
      <c r="K2" s="361"/>
    </row>
    <row r="3" spans="1:17" ht="18" x14ac:dyDescent="0.25">
      <c r="A3" s="363" t="s">
        <v>1</v>
      </c>
      <c r="B3" s="361"/>
      <c r="C3" s="361"/>
      <c r="D3" s="361"/>
      <c r="E3" s="361"/>
      <c r="F3" s="361"/>
      <c r="G3" s="361"/>
      <c r="H3" s="361"/>
      <c r="I3" s="361"/>
      <c r="J3" s="361"/>
      <c r="K3" s="361"/>
      <c r="L3" s="99"/>
      <c r="M3" s="222"/>
      <c r="N3" s="222"/>
      <c r="O3" s="222"/>
      <c r="P3" s="222"/>
      <c r="Q3" s="222"/>
    </row>
    <row r="4" spans="1:17" ht="19.5" customHeight="1" x14ac:dyDescent="0.25">
      <c r="A4" s="361" t="s">
        <v>61</v>
      </c>
      <c r="B4" s="361"/>
      <c r="C4" s="361"/>
      <c r="D4" s="361"/>
      <c r="E4" s="361"/>
      <c r="F4" s="361"/>
      <c r="G4" s="361"/>
      <c r="H4" s="361"/>
      <c r="I4" s="361"/>
      <c r="J4" s="361"/>
      <c r="K4" s="361"/>
    </row>
    <row r="5" spans="1:17" ht="13.5" thickBot="1" x14ac:dyDescent="0.25">
      <c r="A5" s="65"/>
      <c r="B5" s="65"/>
      <c r="C5" s="65"/>
      <c r="D5" s="65"/>
      <c r="E5" s="65"/>
      <c r="F5" s="65"/>
      <c r="G5" s="65"/>
      <c r="H5" s="65"/>
      <c r="I5" s="10"/>
    </row>
    <row r="6" spans="1:17" ht="16.5" thickBot="1" x14ac:dyDescent="0.3">
      <c r="A6" s="367" t="s">
        <v>33</v>
      </c>
      <c r="B6" s="368"/>
      <c r="C6" s="368"/>
      <c r="D6" s="368"/>
      <c r="E6" s="368"/>
      <c r="F6" s="368"/>
      <c r="G6" s="368"/>
      <c r="H6" s="369"/>
      <c r="I6" s="10"/>
    </row>
    <row r="7" spans="1:17" s="11" customFormat="1" ht="12.75" customHeight="1" x14ac:dyDescent="0.2">
      <c r="A7" s="353" t="s">
        <v>6</v>
      </c>
      <c r="B7" s="356" t="s">
        <v>7</v>
      </c>
      <c r="C7" s="335" t="s">
        <v>34</v>
      </c>
      <c r="D7" s="370"/>
      <c r="E7" s="370"/>
      <c r="F7" s="335" t="s">
        <v>35</v>
      </c>
      <c r="G7" s="370"/>
      <c r="H7" s="371"/>
      <c r="I7" s="334" t="s">
        <v>38</v>
      </c>
      <c r="J7" s="331" t="s">
        <v>39</v>
      </c>
      <c r="K7" s="331" t="s">
        <v>40</v>
      </c>
      <c r="L7" s="331" t="s">
        <v>41</v>
      </c>
    </row>
    <row r="8" spans="1:17" s="11" customFormat="1" ht="12.6" customHeight="1" x14ac:dyDescent="0.2">
      <c r="A8" s="354"/>
      <c r="B8" s="357"/>
      <c r="C8" s="336"/>
      <c r="D8" s="372"/>
      <c r="E8" s="372"/>
      <c r="F8" s="336"/>
      <c r="G8" s="372"/>
      <c r="H8" s="373"/>
      <c r="I8" s="332"/>
      <c r="J8" s="332"/>
      <c r="K8" s="332"/>
      <c r="L8" s="332"/>
    </row>
    <row r="9" spans="1:17" s="11" customFormat="1" ht="28.5" customHeight="1" thickBot="1" x14ac:dyDescent="0.25">
      <c r="A9" s="355"/>
      <c r="B9" s="358"/>
      <c r="C9" s="337"/>
      <c r="D9" s="374"/>
      <c r="E9" s="374"/>
      <c r="F9" s="337"/>
      <c r="G9" s="374"/>
      <c r="H9" s="375"/>
      <c r="I9" s="333"/>
      <c r="J9" s="333"/>
      <c r="K9" s="333"/>
      <c r="L9" s="333"/>
    </row>
    <row r="10" spans="1:17" s="11" customFormat="1" ht="28.5" customHeight="1" thickBot="1" x14ac:dyDescent="0.25">
      <c r="A10" s="160"/>
      <c r="B10" s="161"/>
      <c r="C10" s="162" t="s">
        <v>42</v>
      </c>
      <c r="D10" s="162" t="s">
        <v>43</v>
      </c>
      <c r="E10" s="162" t="s">
        <v>44</v>
      </c>
      <c r="F10" s="162" t="s">
        <v>42</v>
      </c>
      <c r="G10" s="162" t="s">
        <v>43</v>
      </c>
      <c r="H10" s="162" t="s">
        <v>44</v>
      </c>
      <c r="I10" s="162"/>
      <c r="J10" s="162"/>
      <c r="K10" s="162"/>
      <c r="L10" s="122"/>
    </row>
    <row r="11" spans="1:17" ht="18" x14ac:dyDescent="0.25">
      <c r="A11" s="101">
        <v>2020</v>
      </c>
      <c r="B11" s="90">
        <v>44012</v>
      </c>
      <c r="C11" s="91">
        <v>0</v>
      </c>
      <c r="D11" s="91">
        <v>0</v>
      </c>
      <c r="E11" s="91">
        <v>0</v>
      </c>
      <c r="F11" s="91">
        <f>33824.25/1000</f>
        <v>33.824249999999999</v>
      </c>
      <c r="G11" s="91">
        <v>0</v>
      </c>
      <c r="H11" s="91">
        <v>0</v>
      </c>
      <c r="I11" s="88">
        <f>SUM(C11:H11)</f>
        <v>33.824249999999999</v>
      </c>
      <c r="J11" s="88">
        <v>33.824249999999999</v>
      </c>
      <c r="K11" s="118">
        <f>(+I11-J11)/J11</f>
        <v>0</v>
      </c>
      <c r="L11" s="118"/>
      <c r="N11" s="13"/>
      <c r="O11" s="51"/>
      <c r="P11" s="51"/>
      <c r="Q11" s="51"/>
    </row>
    <row r="12" spans="1:17" s="11" customFormat="1" ht="18" x14ac:dyDescent="0.25">
      <c r="A12" s="100">
        <v>2020</v>
      </c>
      <c r="B12" s="86">
        <v>44196</v>
      </c>
      <c r="C12" s="87">
        <v>0</v>
      </c>
      <c r="D12" s="87">
        <v>0</v>
      </c>
      <c r="E12" s="87">
        <v>0</v>
      </c>
      <c r="F12" s="87">
        <f>6443.74/1000</f>
        <v>6.44374</v>
      </c>
      <c r="G12" s="87">
        <v>0</v>
      </c>
      <c r="H12" s="87">
        <v>0</v>
      </c>
      <c r="I12" s="88">
        <f t="shared" ref="I12:I22" si="0">SUM(C12:H12)</f>
        <v>6.44374</v>
      </c>
      <c r="J12" s="88">
        <v>6.44374</v>
      </c>
      <c r="K12" s="118">
        <f t="shared" ref="K12:K17" si="1">(+I12-J12)/J12</f>
        <v>0</v>
      </c>
      <c r="L12" s="118"/>
      <c r="N12" s="13"/>
      <c r="O12" s="51"/>
      <c r="P12" s="51"/>
      <c r="Q12" s="51"/>
    </row>
    <row r="13" spans="1:17" s="11" customFormat="1" ht="18" x14ac:dyDescent="0.25">
      <c r="A13" s="102">
        <v>2021</v>
      </c>
      <c r="B13" s="86">
        <v>44012</v>
      </c>
      <c r="C13" s="87">
        <v>0</v>
      </c>
      <c r="D13" s="87">
        <v>0</v>
      </c>
      <c r="E13" s="87">
        <v>0</v>
      </c>
      <c r="F13" s="87">
        <f>344711.79/1000</f>
        <v>344.71178999999995</v>
      </c>
      <c r="G13" s="87">
        <v>0</v>
      </c>
      <c r="H13" s="87">
        <v>0</v>
      </c>
      <c r="I13" s="88">
        <f t="shared" si="0"/>
        <v>344.71178999999995</v>
      </c>
      <c r="J13" s="88">
        <v>344.71178999999995</v>
      </c>
      <c r="K13" s="118">
        <f t="shared" si="1"/>
        <v>0</v>
      </c>
      <c r="L13" s="118"/>
      <c r="M13" s="13"/>
      <c r="N13" s="13"/>
      <c r="O13" s="51"/>
      <c r="P13" s="51"/>
      <c r="Q13" s="51"/>
    </row>
    <row r="14" spans="1:17" s="11" customFormat="1" ht="18" x14ac:dyDescent="0.25">
      <c r="A14" s="102">
        <v>2021</v>
      </c>
      <c r="B14" s="81">
        <v>44196</v>
      </c>
      <c r="C14" s="87">
        <v>0</v>
      </c>
      <c r="D14" s="87">
        <v>0</v>
      </c>
      <c r="E14" s="207">
        <f>627815.68/1000</f>
        <v>627.81568000000004</v>
      </c>
      <c r="F14" s="207">
        <f>724204.61/1000</f>
        <v>724.20461</v>
      </c>
      <c r="G14" s="207">
        <v>0</v>
      </c>
      <c r="H14" s="207">
        <v>0</v>
      </c>
      <c r="I14" s="208">
        <f t="shared" si="0"/>
        <v>1352.0202899999999</v>
      </c>
      <c r="J14" s="88">
        <v>1352.0202899999999</v>
      </c>
      <c r="K14" s="118">
        <f t="shared" si="1"/>
        <v>0</v>
      </c>
      <c r="L14" s="118"/>
      <c r="N14" s="13"/>
      <c r="O14" s="51"/>
      <c r="P14" s="51"/>
      <c r="Q14" s="51"/>
    </row>
    <row r="15" spans="1:17" s="11" customFormat="1" ht="18" x14ac:dyDescent="0.25">
      <c r="A15" s="103">
        <v>2022</v>
      </c>
      <c r="B15" s="92">
        <v>44012</v>
      </c>
      <c r="C15" s="87">
        <v>0</v>
      </c>
      <c r="D15" s="87">
        <v>0</v>
      </c>
      <c r="E15" s="87">
        <v>269.47133999999983</v>
      </c>
      <c r="F15" s="87">
        <v>407.98170000000005</v>
      </c>
      <c r="G15" s="87">
        <v>0</v>
      </c>
      <c r="H15" s="87">
        <v>0</v>
      </c>
      <c r="I15" s="88">
        <f t="shared" si="0"/>
        <v>677.45303999999987</v>
      </c>
      <c r="J15" s="88">
        <v>677.45303999999987</v>
      </c>
      <c r="K15" s="118">
        <f t="shared" si="1"/>
        <v>0</v>
      </c>
      <c r="L15" s="118"/>
      <c r="M15" s="15"/>
      <c r="N15" s="13"/>
      <c r="O15" s="51"/>
      <c r="P15" s="51"/>
      <c r="Q15" s="51"/>
    </row>
    <row r="16" spans="1:17" s="11" customFormat="1" ht="18" x14ac:dyDescent="0.25">
      <c r="A16" s="100">
        <v>2022</v>
      </c>
      <c r="B16" s="86">
        <v>44196</v>
      </c>
      <c r="C16" s="87">
        <v>0</v>
      </c>
      <c r="D16" s="87">
        <v>0</v>
      </c>
      <c r="E16" s="87">
        <v>1716.1744799999992</v>
      </c>
      <c r="F16" s="87">
        <v>1062.3142099999998</v>
      </c>
      <c r="G16" s="87">
        <v>0</v>
      </c>
      <c r="H16" s="87">
        <v>144.50714000000002</v>
      </c>
      <c r="I16" s="88">
        <f t="shared" si="0"/>
        <v>2922.9958299999994</v>
      </c>
      <c r="J16" s="88">
        <v>2922.9958299999994</v>
      </c>
      <c r="K16" s="118">
        <f t="shared" si="1"/>
        <v>0</v>
      </c>
      <c r="L16" s="118"/>
      <c r="N16" s="13"/>
      <c r="O16" s="51"/>
      <c r="P16" s="51"/>
      <c r="Q16" s="51"/>
    </row>
    <row r="17" spans="1:18" s="11" customFormat="1" ht="18" x14ac:dyDescent="0.25">
      <c r="A17" s="103">
        <v>2023</v>
      </c>
      <c r="B17" s="92">
        <v>44012</v>
      </c>
      <c r="C17" s="87">
        <v>0</v>
      </c>
      <c r="D17" s="87">
        <v>0</v>
      </c>
      <c r="E17" s="87">
        <v>377.10412000000002</v>
      </c>
      <c r="F17" s="87">
        <v>2115.8357399999995</v>
      </c>
      <c r="G17" s="87">
        <v>0</v>
      </c>
      <c r="H17" s="87">
        <v>16.615449999999999</v>
      </c>
      <c r="I17" s="88">
        <f t="shared" si="0"/>
        <v>2509.5553099999993</v>
      </c>
      <c r="J17" s="88">
        <v>2292.9643791600001</v>
      </c>
      <c r="K17" s="118">
        <f t="shared" si="1"/>
        <v>9.445891650499369E-2</v>
      </c>
      <c r="L17" s="118" t="s">
        <v>28</v>
      </c>
      <c r="N17" s="13"/>
      <c r="O17" s="51"/>
      <c r="P17" s="51"/>
      <c r="Q17" s="51"/>
    </row>
    <row r="18" spans="1:18" s="11" customFormat="1" ht="18" x14ac:dyDescent="0.25">
      <c r="A18" s="100">
        <v>2023</v>
      </c>
      <c r="B18" s="86">
        <v>44196</v>
      </c>
      <c r="C18" s="87">
        <v>1054.4324299999998</v>
      </c>
      <c r="D18" s="87">
        <v>1000</v>
      </c>
      <c r="E18" s="87">
        <v>2244.1849200000001</v>
      </c>
      <c r="F18" s="87">
        <v>2731.2763099999884</v>
      </c>
      <c r="G18" s="87">
        <v>260</v>
      </c>
      <c r="H18" s="87">
        <v>10.51511</v>
      </c>
      <c r="I18" s="88">
        <f t="shared" si="0"/>
        <v>7300.4087699999891</v>
      </c>
      <c r="J18" s="88">
        <v>10066.528857551268</v>
      </c>
      <c r="K18" s="118">
        <f>(+I18-J18)/J18</f>
        <v>-0.27478390284217102</v>
      </c>
      <c r="L18" s="118"/>
      <c r="N18" s="13"/>
      <c r="O18" s="51"/>
      <c r="P18" s="51"/>
      <c r="Q18" s="51"/>
    </row>
    <row r="19" spans="1:18" s="11" customFormat="1" ht="18" x14ac:dyDescent="0.25">
      <c r="A19" s="102">
        <v>2024</v>
      </c>
      <c r="B19" s="86">
        <v>44012</v>
      </c>
      <c r="C19" s="87">
        <v>1199.5087500000004</v>
      </c>
      <c r="D19" s="87">
        <v>-987.72037</v>
      </c>
      <c r="E19" s="87">
        <v>3113.4997600000011</v>
      </c>
      <c r="F19" s="87">
        <v>1572.8603899999996</v>
      </c>
      <c r="G19" s="87">
        <v>25.448069999999994</v>
      </c>
      <c r="H19" s="87">
        <v>197.01086999999995</v>
      </c>
      <c r="I19" s="88">
        <f t="shared" si="0"/>
        <v>5120.6074700000017</v>
      </c>
      <c r="J19" s="88">
        <v>14051.399646404507</v>
      </c>
      <c r="K19" s="118">
        <f>(+I19-J19)/J19</f>
        <v>-0.63558025542955288</v>
      </c>
      <c r="L19" s="118"/>
      <c r="N19" s="13"/>
      <c r="O19" s="51"/>
      <c r="P19" s="51"/>
      <c r="Q19" s="51"/>
    </row>
    <row r="20" spans="1:18" s="11" customFormat="1" ht="18" x14ac:dyDescent="0.25">
      <c r="A20" s="102">
        <v>2024</v>
      </c>
      <c r="B20" s="86">
        <v>44196</v>
      </c>
      <c r="C20" s="87">
        <v>1429.9675400000006</v>
      </c>
      <c r="D20" s="87">
        <v>153.72070999999994</v>
      </c>
      <c r="E20" s="87">
        <v>1332.6376200000013</v>
      </c>
      <c r="F20" s="87">
        <v>1718.8376600000006</v>
      </c>
      <c r="G20" s="87">
        <v>24.454829999999998</v>
      </c>
      <c r="H20" s="87">
        <v>271.47597999999988</v>
      </c>
      <c r="I20" s="88">
        <f t="shared" si="0"/>
        <v>4931.0943400000024</v>
      </c>
      <c r="J20" s="88">
        <v>12805.653360796619</v>
      </c>
      <c r="K20" s="118">
        <f>(+I20-J20)/J20</f>
        <v>-0.61492832883512893</v>
      </c>
      <c r="L20" s="118"/>
      <c r="N20" s="13"/>
      <c r="O20" s="51"/>
      <c r="P20" s="51"/>
      <c r="Q20" s="51"/>
    </row>
    <row r="21" spans="1:18" s="11" customFormat="1" ht="18" x14ac:dyDescent="0.25">
      <c r="A21" s="102">
        <v>2025</v>
      </c>
      <c r="B21" s="92">
        <v>44012</v>
      </c>
      <c r="C21" s="87">
        <v>1507.8474700000056</v>
      </c>
      <c r="D21" s="87">
        <v>253.95482999999999</v>
      </c>
      <c r="E21" s="87">
        <v>1916.3587600000012</v>
      </c>
      <c r="F21" s="87">
        <v>1113.5169999999987</v>
      </c>
      <c r="G21" s="87">
        <v>26.251780000000011</v>
      </c>
      <c r="H21" s="87">
        <v>311.27808000000016</v>
      </c>
      <c r="I21" s="88">
        <f t="shared" si="0"/>
        <v>5129.2079200000053</v>
      </c>
      <c r="J21" s="88">
        <v>6515.2895972786737</v>
      </c>
      <c r="K21" s="118">
        <f>(+I21-J21)/J21</f>
        <v>-0.2127429113600125</v>
      </c>
      <c r="L21" s="118"/>
      <c r="M21" s="20"/>
      <c r="N21" s="13"/>
      <c r="O21" s="51"/>
      <c r="P21" s="51"/>
      <c r="Q21" s="51"/>
    </row>
    <row r="22" spans="1:18" s="11" customFormat="1" ht="18" x14ac:dyDescent="0.25">
      <c r="A22" s="102">
        <v>2025</v>
      </c>
      <c r="B22" s="86">
        <v>44196</v>
      </c>
      <c r="C22" s="87"/>
      <c r="D22" s="87"/>
      <c r="E22" s="87"/>
      <c r="F22" s="87"/>
      <c r="G22" s="87"/>
      <c r="H22" s="87"/>
      <c r="I22" s="88">
        <f t="shared" si="0"/>
        <v>0</v>
      </c>
      <c r="J22" s="88">
        <v>465.186218808928</v>
      </c>
      <c r="K22" s="193"/>
      <c r="L22" s="118"/>
      <c r="M22" s="20"/>
      <c r="N22" s="13"/>
      <c r="O22" s="51"/>
      <c r="P22" s="51"/>
      <c r="Q22" s="51"/>
    </row>
    <row r="23" spans="1:18" s="11" customFormat="1" ht="18" x14ac:dyDescent="0.25">
      <c r="A23" s="102">
        <f>A21+1</f>
        <v>2026</v>
      </c>
      <c r="B23" s="86">
        <v>44012</v>
      </c>
      <c r="C23" s="228"/>
      <c r="D23" s="228"/>
      <c r="E23" s="228"/>
      <c r="F23" s="228"/>
      <c r="G23" s="228"/>
      <c r="H23" s="228"/>
      <c r="I23" s="221">
        <f>SUM(C23:H23)</f>
        <v>0</v>
      </c>
      <c r="J23" s="221">
        <v>0</v>
      </c>
      <c r="K23" s="234"/>
      <c r="L23" s="193"/>
      <c r="M23" s="309"/>
      <c r="N23" s="13"/>
      <c r="O23" s="51"/>
      <c r="P23" s="51"/>
      <c r="Q23" s="51"/>
    </row>
    <row r="24" spans="1:18" s="11" customFormat="1" ht="18" x14ac:dyDescent="0.25">
      <c r="A24" s="102">
        <f>A22+1</f>
        <v>2026</v>
      </c>
      <c r="B24" s="86">
        <v>44196</v>
      </c>
      <c r="C24" s="228"/>
      <c r="D24" s="228"/>
      <c r="E24" s="228"/>
      <c r="F24" s="228"/>
      <c r="G24" s="228"/>
      <c r="H24" s="228"/>
      <c r="I24" s="221">
        <f>SUM(C24:H24)</f>
        <v>0</v>
      </c>
      <c r="J24" s="221">
        <v>0</v>
      </c>
      <c r="K24" s="234"/>
      <c r="L24" s="193"/>
      <c r="M24" s="20"/>
      <c r="N24" s="13"/>
      <c r="O24" s="51"/>
      <c r="P24" s="51"/>
      <c r="Q24" s="51"/>
    </row>
    <row r="25" spans="1:18" s="11" customFormat="1" ht="18" x14ac:dyDescent="0.25">
      <c r="A25" s="102">
        <f t="shared" ref="A25:A26" si="2">A23+1</f>
        <v>2027</v>
      </c>
      <c r="B25" s="92">
        <v>44012</v>
      </c>
      <c r="C25" s="93"/>
      <c r="D25" s="93"/>
      <c r="E25" s="93"/>
      <c r="F25" s="93"/>
      <c r="G25" s="93"/>
      <c r="H25" s="93"/>
      <c r="I25" s="94"/>
      <c r="J25" s="94"/>
      <c r="K25" s="124"/>
      <c r="L25" s="193"/>
      <c r="M25" s="20"/>
      <c r="N25" s="13"/>
      <c r="O25" s="51"/>
      <c r="P25" s="51"/>
      <c r="Q25" s="51"/>
    </row>
    <row r="26" spans="1:18" s="11" customFormat="1" ht="18.75" thickBot="1" x14ac:dyDescent="0.3">
      <c r="A26" s="104">
        <f t="shared" si="2"/>
        <v>2027</v>
      </c>
      <c r="B26" s="95">
        <v>44196</v>
      </c>
      <c r="C26" s="96"/>
      <c r="D26" s="96"/>
      <c r="E26" s="96"/>
      <c r="F26" s="96"/>
      <c r="G26" s="96"/>
      <c r="H26" s="96"/>
      <c r="I26" s="94"/>
      <c r="J26" s="94"/>
      <c r="K26" s="125"/>
      <c r="L26" s="194"/>
      <c r="M26" s="20"/>
      <c r="N26" s="13"/>
      <c r="O26" s="51"/>
      <c r="P26" s="51"/>
      <c r="Q26" s="51"/>
    </row>
    <row r="27" spans="1:18" s="11" customFormat="1" ht="18.75" thickBot="1" x14ac:dyDescent="0.3">
      <c r="A27" s="351" t="s">
        <v>24</v>
      </c>
      <c r="B27" s="352"/>
      <c r="C27" s="89">
        <f>SUM(C11:C26)</f>
        <v>5191.7561900000064</v>
      </c>
      <c r="D27" s="89">
        <f t="shared" ref="D27:H27" si="3">SUM(D11:D26)</f>
        <v>419.95516999999995</v>
      </c>
      <c r="E27" s="89">
        <f t="shared" si="3"/>
        <v>11597.246680000002</v>
      </c>
      <c r="F27" s="89">
        <f t="shared" si="3"/>
        <v>11831.807399999987</v>
      </c>
      <c r="G27" s="89">
        <f t="shared" si="3"/>
        <v>336.15467999999998</v>
      </c>
      <c r="H27" s="89">
        <f t="shared" si="3"/>
        <v>951.40262999999993</v>
      </c>
      <c r="I27" s="89">
        <f t="shared" ref="I27:J27" si="4">SUM(I11:I26)</f>
        <v>30328.322749999996</v>
      </c>
      <c r="J27" s="89">
        <f t="shared" si="4"/>
        <v>51534.47099999999</v>
      </c>
      <c r="K27" s="119">
        <f>(J28-J27)/J27</f>
        <v>-9.8830360166662017E-16</v>
      </c>
      <c r="L27" s="89" t="s">
        <v>27</v>
      </c>
      <c r="N27" s="13"/>
      <c r="O27" s="13"/>
      <c r="P27" s="282"/>
      <c r="Q27" s="283"/>
      <c r="R27" s="51"/>
    </row>
    <row r="28" spans="1:18" s="11" customFormat="1" ht="33.75" customHeight="1" thickBot="1" x14ac:dyDescent="0.25">
      <c r="A28" s="8"/>
      <c r="B28" s="16"/>
      <c r="C28" s="17"/>
      <c r="D28" s="17"/>
      <c r="E28" s="17"/>
      <c r="F28" s="18"/>
      <c r="G28" s="18"/>
      <c r="H28" s="382" t="s">
        <v>46</v>
      </c>
      <c r="I28" s="383"/>
      <c r="J28" s="89">
        <v>51534.47099999994</v>
      </c>
      <c r="L28" s="59"/>
    </row>
    <row r="29" spans="1:18" s="11" customFormat="1" x14ac:dyDescent="0.2">
      <c r="A29" s="8" t="s">
        <v>25</v>
      </c>
      <c r="H29" s="37"/>
      <c r="I29" s="38"/>
      <c r="L29" s="15"/>
    </row>
    <row r="30" spans="1:18" s="11" customFormat="1" ht="15.75" customHeight="1" thickBot="1" x14ac:dyDescent="0.3">
      <c r="A30" s="387"/>
      <c r="B30" s="388"/>
      <c r="C30" s="388"/>
      <c r="D30" s="388"/>
      <c r="E30" s="388"/>
      <c r="F30" s="388"/>
      <c r="G30" s="388"/>
      <c r="H30" s="388"/>
      <c r="I30" s="388"/>
      <c r="J30" s="388"/>
      <c r="K30" s="388"/>
    </row>
    <row r="31" spans="1:18" ht="18.75" thickBot="1" x14ac:dyDescent="0.3">
      <c r="A31" s="339" t="s">
        <v>26</v>
      </c>
      <c r="B31" s="340"/>
      <c r="C31" s="340"/>
      <c r="D31" s="340"/>
      <c r="E31" s="340"/>
      <c r="F31" s="340"/>
      <c r="G31" s="340"/>
      <c r="H31" s="340"/>
      <c r="I31" s="340"/>
      <c r="J31" s="340"/>
      <c r="K31" s="341"/>
      <c r="L31" s="22"/>
    </row>
    <row r="32" spans="1:18" ht="18.75" customHeight="1" thickBot="1" x14ac:dyDescent="0.25">
      <c r="A32" s="61" t="s">
        <v>27</v>
      </c>
      <c r="B32" s="342" t="s">
        <v>62</v>
      </c>
      <c r="C32" s="343"/>
      <c r="D32" s="343"/>
      <c r="E32" s="343"/>
      <c r="F32" s="343"/>
      <c r="G32" s="343"/>
      <c r="H32" s="343"/>
      <c r="I32" s="343"/>
      <c r="J32" s="343"/>
      <c r="K32" s="344"/>
      <c r="L32" s="22"/>
    </row>
    <row r="33" spans="1:12" ht="18.75" thickBot="1" x14ac:dyDescent="0.25">
      <c r="A33" s="61" t="s">
        <v>28</v>
      </c>
      <c r="B33" s="348" t="s">
        <v>63</v>
      </c>
      <c r="C33" s="349"/>
      <c r="D33" s="349"/>
      <c r="E33" s="349"/>
      <c r="F33" s="349"/>
      <c r="G33" s="349"/>
      <c r="H33" s="349"/>
      <c r="I33" s="349"/>
      <c r="J33" s="349"/>
      <c r="K33" s="350"/>
      <c r="L33" s="22"/>
    </row>
    <row r="34" spans="1:12" ht="18.75" thickBot="1" x14ac:dyDescent="0.25">
      <c r="A34" s="61" t="s">
        <v>29</v>
      </c>
      <c r="B34" s="345"/>
      <c r="C34" s="346"/>
      <c r="D34" s="346"/>
      <c r="E34" s="346"/>
      <c r="F34" s="346"/>
      <c r="G34" s="346"/>
      <c r="H34" s="346"/>
      <c r="I34" s="346"/>
      <c r="J34" s="346"/>
      <c r="K34" s="347"/>
      <c r="L34" s="22"/>
    </row>
    <row r="35" spans="1:12" x14ac:dyDescent="0.2">
      <c r="L35" s="22"/>
    </row>
    <row r="36" spans="1:12" x14ac:dyDescent="0.2">
      <c r="A36" s="1" t="s">
        <v>51</v>
      </c>
      <c r="L36" s="22"/>
    </row>
    <row r="37" spans="1:12" x14ac:dyDescent="0.2">
      <c r="A37" s="1" t="s">
        <v>64</v>
      </c>
      <c r="H37" s="44"/>
      <c r="L37" s="22"/>
    </row>
    <row r="38" spans="1:12" x14ac:dyDescent="0.2">
      <c r="A38" s="1" t="s">
        <v>65</v>
      </c>
      <c r="L38" s="22"/>
    </row>
    <row r="39" spans="1:12" x14ac:dyDescent="0.2">
      <c r="L39" s="22"/>
    </row>
    <row r="40" spans="1:12" x14ac:dyDescent="0.2">
      <c r="D40" s="123"/>
      <c r="L40" s="22"/>
    </row>
    <row r="41" spans="1:12" x14ac:dyDescent="0.2">
      <c r="D41" s="123"/>
      <c r="L41" s="22"/>
    </row>
    <row r="42" spans="1:12" x14ac:dyDescent="0.2">
      <c r="L42" s="22"/>
    </row>
    <row r="43" spans="1:12" x14ac:dyDescent="0.2">
      <c r="L43" s="22"/>
    </row>
    <row r="44" spans="1:12" x14ac:dyDescent="0.2">
      <c r="L44" s="22"/>
    </row>
    <row r="45" spans="1:12" x14ac:dyDescent="0.2">
      <c r="L45" s="22"/>
    </row>
    <row r="46" spans="1:12" x14ac:dyDescent="0.2">
      <c r="L46" s="22"/>
    </row>
    <row r="47" spans="1:12" x14ac:dyDescent="0.2">
      <c r="L47" s="22"/>
    </row>
    <row r="48" spans="1:12" x14ac:dyDescent="0.2">
      <c r="L48" s="22"/>
    </row>
    <row r="49" spans="12:18" x14ac:dyDescent="0.2">
      <c r="L49" s="22"/>
    </row>
    <row r="50" spans="12:18" x14ac:dyDescent="0.2">
      <c r="L50" s="22"/>
    </row>
    <row r="51" spans="12:18" x14ac:dyDescent="0.2">
      <c r="L51" s="22"/>
    </row>
    <row r="52" spans="12:18" x14ac:dyDescent="0.2">
      <c r="L52" s="22"/>
    </row>
    <row r="53" spans="12:18" x14ac:dyDescent="0.2">
      <c r="L53" s="22"/>
    </row>
    <row r="54" spans="12:18" x14ac:dyDescent="0.2">
      <c r="L54" s="22"/>
    </row>
    <row r="55" spans="12:18" x14ac:dyDescent="0.2">
      <c r="L55" s="22"/>
    </row>
    <row r="56" spans="12:18" x14ac:dyDescent="0.2">
      <c r="L56" s="22"/>
    </row>
    <row r="57" spans="12:18" x14ac:dyDescent="0.2">
      <c r="L57" s="22"/>
    </row>
    <row r="58" spans="12:18" x14ac:dyDescent="0.2">
      <c r="L58" s="22"/>
    </row>
    <row r="59" spans="12:18" x14ac:dyDescent="0.2">
      <c r="L59" s="22"/>
    </row>
    <row r="60" spans="12:18" x14ac:dyDescent="0.2">
      <c r="L60" s="22"/>
    </row>
    <row r="61" spans="12:18" ht="15.75" x14ac:dyDescent="0.25">
      <c r="L61" s="22"/>
      <c r="R61" s="57"/>
    </row>
  </sheetData>
  <mergeCells count="20">
    <mergeCell ref="A6:H6"/>
    <mergeCell ref="A1:K1"/>
    <mergeCell ref="A2:K2"/>
    <mergeCell ref="A4:K4"/>
    <mergeCell ref="A3:K3"/>
    <mergeCell ref="L7:L9"/>
    <mergeCell ref="B33:K33"/>
    <mergeCell ref="B34:K34"/>
    <mergeCell ref="A30:K30"/>
    <mergeCell ref="A27:B27"/>
    <mergeCell ref="A7:A9"/>
    <mergeCell ref="B7:B9"/>
    <mergeCell ref="C7:E9"/>
    <mergeCell ref="F7:H9"/>
    <mergeCell ref="I7:I9"/>
    <mergeCell ref="J7:J9"/>
    <mergeCell ref="K7:K9"/>
    <mergeCell ref="A31:K31"/>
    <mergeCell ref="B32:K32"/>
    <mergeCell ref="H28:I28"/>
  </mergeCells>
  <printOptions horizontalCentered="1"/>
  <pageMargins left="0.67" right="0.65" top="0.78" bottom="0.75" header="0.52" footer="0.3"/>
  <pageSetup scale="31" fitToHeight="2" orientation="landscape" r:id="rId1"/>
  <headerFooter alignWithMargins="0">
    <oddHeader>&amp;R&amp;F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C3EF5-A399-4A44-B906-02C3978BAC99}">
  <dimension ref="A1:AB66"/>
  <sheetViews>
    <sheetView view="pageLayout" zoomScaleNormal="70" workbookViewId="0">
      <selection sqref="A1:Q1"/>
    </sheetView>
  </sheetViews>
  <sheetFormatPr defaultColWidth="9.42578125" defaultRowHeight="12.75" x14ac:dyDescent="0.2"/>
  <cols>
    <col min="1" max="1" width="18.42578125" style="1" bestFit="1" customWidth="1"/>
    <col min="2" max="2" width="23.42578125" style="1" customWidth="1"/>
    <col min="3" max="14" width="15.5703125" style="1" customWidth="1"/>
    <col min="15" max="15" width="21.42578125" style="1" customWidth="1"/>
    <col min="16" max="16" width="23.42578125" style="1" customWidth="1"/>
    <col min="17" max="17" width="22.5703125" style="1" customWidth="1"/>
    <col min="18" max="18" width="13.42578125" style="1" bestFit="1" customWidth="1"/>
    <col min="19" max="19" width="14.42578125" style="1" bestFit="1" customWidth="1"/>
    <col min="20" max="20" width="11.42578125" style="1" bestFit="1" customWidth="1"/>
    <col min="21" max="21" width="10.42578125" style="1" bestFit="1" customWidth="1"/>
    <col min="22" max="22" width="12.5703125" style="1" bestFit="1" customWidth="1"/>
    <col min="23" max="23" width="11.5703125" style="1" bestFit="1" customWidth="1"/>
    <col min="24" max="24" width="10.42578125" style="1" bestFit="1" customWidth="1"/>
    <col min="25" max="25" width="11.5703125" style="1" bestFit="1" customWidth="1"/>
    <col min="26" max="30" width="9.42578125" style="1"/>
    <col min="31" max="31" width="17.5703125" style="1" bestFit="1" customWidth="1"/>
    <col min="32" max="32" width="19.42578125" style="1" bestFit="1" customWidth="1"/>
    <col min="33" max="34" width="15.42578125" style="1" bestFit="1" customWidth="1"/>
    <col min="35" max="16384" width="9.42578125" style="1"/>
  </cols>
  <sheetData>
    <row r="1" spans="1:27" ht="18" x14ac:dyDescent="0.25">
      <c r="A1" s="361" t="s">
        <v>444</v>
      </c>
      <c r="B1" s="361"/>
      <c r="C1" s="361"/>
      <c r="D1" s="361"/>
      <c r="E1" s="361"/>
      <c r="F1" s="361"/>
      <c r="G1" s="361"/>
      <c r="H1" s="361"/>
      <c r="I1" s="361"/>
      <c r="J1" s="361"/>
      <c r="K1" s="361"/>
      <c r="L1" s="361"/>
      <c r="M1" s="361"/>
      <c r="N1" s="361"/>
      <c r="O1" s="361"/>
      <c r="P1" s="361"/>
      <c r="Q1" s="361"/>
    </row>
    <row r="2" spans="1:27" ht="18" x14ac:dyDescent="0.25">
      <c r="A2" s="361" t="s">
        <v>0</v>
      </c>
      <c r="B2" s="361"/>
      <c r="C2" s="361"/>
      <c r="D2" s="361"/>
      <c r="E2" s="361"/>
      <c r="F2" s="361"/>
      <c r="G2" s="361"/>
      <c r="H2" s="361"/>
      <c r="I2" s="361"/>
      <c r="J2" s="361"/>
      <c r="K2" s="361"/>
      <c r="L2" s="361"/>
      <c r="M2" s="361"/>
      <c r="N2" s="361"/>
      <c r="O2" s="361"/>
      <c r="P2" s="361"/>
      <c r="Q2" s="361"/>
    </row>
    <row r="3" spans="1:27" ht="18" x14ac:dyDescent="0.25">
      <c r="A3" s="363" t="s">
        <v>1</v>
      </c>
      <c r="B3" s="361"/>
      <c r="C3" s="361"/>
      <c r="D3" s="361"/>
      <c r="E3" s="361"/>
      <c r="F3" s="361"/>
      <c r="G3" s="361"/>
      <c r="H3" s="361"/>
      <c r="I3" s="361"/>
      <c r="J3" s="361"/>
      <c r="K3" s="361"/>
      <c r="L3" s="361"/>
      <c r="M3" s="361"/>
      <c r="N3" s="361"/>
      <c r="O3" s="361"/>
      <c r="P3" s="361"/>
      <c r="Q3" s="361"/>
    </row>
    <row r="4" spans="1:27" ht="19.5" customHeight="1" x14ac:dyDescent="0.25">
      <c r="A4" s="361" t="s">
        <v>66</v>
      </c>
      <c r="B4" s="361"/>
      <c r="C4" s="361"/>
      <c r="D4" s="361"/>
      <c r="E4" s="361"/>
      <c r="F4" s="361"/>
      <c r="G4" s="361"/>
      <c r="H4" s="361"/>
      <c r="I4" s="361"/>
      <c r="J4" s="361"/>
      <c r="K4" s="361"/>
      <c r="L4" s="361"/>
      <c r="M4" s="361"/>
      <c r="N4" s="361"/>
      <c r="O4" s="361"/>
      <c r="P4" s="361"/>
      <c r="Q4" s="361"/>
    </row>
    <row r="5" spans="1:27" x14ac:dyDescent="0.2">
      <c r="A5" s="65"/>
      <c r="B5" s="65"/>
      <c r="F5" s="65"/>
      <c r="G5" s="65"/>
      <c r="H5" s="65"/>
      <c r="I5" s="65"/>
      <c r="J5" s="65"/>
      <c r="K5" s="65"/>
      <c r="L5" s="10"/>
      <c r="M5" s="10"/>
    </row>
    <row r="6" spans="1:27" ht="16.5" thickBot="1" x14ac:dyDescent="0.3">
      <c r="A6" s="367" t="s">
        <v>33</v>
      </c>
      <c r="B6" s="368"/>
      <c r="C6" s="368"/>
      <c r="D6" s="368"/>
      <c r="E6" s="368"/>
      <c r="F6" s="368"/>
      <c r="G6" s="368"/>
      <c r="H6" s="368"/>
      <c r="I6" s="368"/>
      <c r="J6" s="368"/>
      <c r="K6" s="368"/>
      <c r="L6" s="368"/>
      <c r="M6" s="368"/>
      <c r="N6" s="369"/>
    </row>
    <row r="7" spans="1:27" s="11" customFormat="1" ht="12.75" customHeight="1" x14ac:dyDescent="0.2">
      <c r="A7" s="353" t="s">
        <v>6</v>
      </c>
      <c r="B7" s="356" t="s">
        <v>7</v>
      </c>
      <c r="C7" s="335" t="s">
        <v>34</v>
      </c>
      <c r="D7" s="370"/>
      <c r="E7" s="371"/>
      <c r="F7" s="335" t="s">
        <v>35</v>
      </c>
      <c r="G7" s="370"/>
      <c r="H7" s="371"/>
      <c r="I7" s="335" t="s">
        <v>36</v>
      </c>
      <c r="J7" s="370"/>
      <c r="K7" s="371"/>
      <c r="L7" s="335" t="s">
        <v>37</v>
      </c>
      <c r="M7" s="370"/>
      <c r="N7" s="371"/>
      <c r="O7" s="334" t="s">
        <v>38</v>
      </c>
      <c r="P7" s="331" t="s">
        <v>39</v>
      </c>
      <c r="Q7" s="331" t="s">
        <v>40</v>
      </c>
      <c r="R7" s="331" t="s">
        <v>41</v>
      </c>
    </row>
    <row r="8" spans="1:27" s="11" customFormat="1" ht="12.6" customHeight="1" x14ac:dyDescent="0.2">
      <c r="A8" s="354"/>
      <c r="B8" s="357"/>
      <c r="C8" s="336"/>
      <c r="D8" s="372"/>
      <c r="E8" s="373"/>
      <c r="F8" s="336"/>
      <c r="G8" s="372"/>
      <c r="H8" s="373"/>
      <c r="I8" s="336"/>
      <c r="J8" s="372"/>
      <c r="K8" s="373"/>
      <c r="L8" s="336"/>
      <c r="M8" s="372"/>
      <c r="N8" s="373"/>
      <c r="O8" s="332"/>
      <c r="P8" s="332"/>
      <c r="Q8" s="332"/>
      <c r="R8" s="332"/>
    </row>
    <row r="9" spans="1:27" s="11" customFormat="1" ht="28.5" customHeight="1" thickBot="1" x14ac:dyDescent="0.25">
      <c r="A9" s="355"/>
      <c r="B9" s="358"/>
      <c r="C9" s="337"/>
      <c r="D9" s="374"/>
      <c r="E9" s="375"/>
      <c r="F9" s="337"/>
      <c r="G9" s="374"/>
      <c r="H9" s="375"/>
      <c r="I9" s="337"/>
      <c r="J9" s="374"/>
      <c r="K9" s="375"/>
      <c r="L9" s="337"/>
      <c r="M9" s="374"/>
      <c r="N9" s="375"/>
      <c r="O9" s="333"/>
      <c r="P9" s="333"/>
      <c r="Q9" s="333"/>
      <c r="R9" s="333"/>
    </row>
    <row r="10" spans="1:27" s="11" customFormat="1" ht="28.5" customHeight="1" thickBot="1" x14ac:dyDescent="0.25">
      <c r="A10" s="160"/>
      <c r="B10" s="161"/>
      <c r="C10" s="162" t="s">
        <v>42</v>
      </c>
      <c r="D10" s="162" t="s">
        <v>43</v>
      </c>
      <c r="E10" s="162" t="s">
        <v>44</v>
      </c>
      <c r="F10" s="162" t="s">
        <v>42</v>
      </c>
      <c r="G10" s="162" t="s">
        <v>43</v>
      </c>
      <c r="H10" s="162" t="s">
        <v>44</v>
      </c>
      <c r="I10" s="162" t="s">
        <v>42</v>
      </c>
      <c r="J10" s="162" t="s">
        <v>43</v>
      </c>
      <c r="K10" s="162" t="s">
        <v>44</v>
      </c>
      <c r="L10" s="162" t="s">
        <v>42</v>
      </c>
      <c r="M10" s="162" t="s">
        <v>43</v>
      </c>
      <c r="N10" s="162" t="s">
        <v>44</v>
      </c>
      <c r="O10" s="162"/>
      <c r="P10" s="122"/>
      <c r="Q10" s="127"/>
      <c r="R10" s="122"/>
    </row>
    <row r="11" spans="1:27" ht="18" x14ac:dyDescent="0.25">
      <c r="A11" s="101">
        <v>2020</v>
      </c>
      <c r="B11" s="90">
        <v>44012</v>
      </c>
      <c r="C11" s="91">
        <f>434240/1000</f>
        <v>434.24</v>
      </c>
      <c r="D11" s="91">
        <v>0</v>
      </c>
      <c r="E11" s="91">
        <v>0</v>
      </c>
      <c r="F11" s="91">
        <v>0</v>
      </c>
      <c r="G11" s="91">
        <v>0</v>
      </c>
      <c r="H11" s="91">
        <v>0</v>
      </c>
      <c r="I11" s="91">
        <v>0</v>
      </c>
      <c r="J11" s="91">
        <v>0</v>
      </c>
      <c r="K11" s="91">
        <v>0</v>
      </c>
      <c r="L11" s="91">
        <v>0</v>
      </c>
      <c r="M11" s="91">
        <v>0</v>
      </c>
      <c r="N11" s="91">
        <v>0</v>
      </c>
      <c r="O11" s="88">
        <f>SUM(C11:N11)</f>
        <v>434.24</v>
      </c>
      <c r="P11" s="88">
        <v>434.23951999999997</v>
      </c>
      <c r="Q11" s="118">
        <f>(+O11-P11)/P11</f>
        <v>1.10538073558729E-6</v>
      </c>
      <c r="R11" s="118"/>
      <c r="U11" s="12"/>
      <c r="V11" s="13"/>
      <c r="W11" s="13"/>
      <c r="X11" s="13"/>
      <c r="Y11" s="51"/>
      <c r="Z11" s="51"/>
      <c r="AA11" s="51"/>
    </row>
    <row r="12" spans="1:27" s="11" customFormat="1" ht="18" x14ac:dyDescent="0.25">
      <c r="A12" s="100">
        <v>2020</v>
      </c>
      <c r="B12" s="86">
        <v>44196</v>
      </c>
      <c r="C12" s="87">
        <f>3140.03/1000</f>
        <v>3.1400300000000003</v>
      </c>
      <c r="D12" s="87">
        <v>0</v>
      </c>
      <c r="E12" s="87">
        <v>0</v>
      </c>
      <c r="F12" s="87">
        <v>0</v>
      </c>
      <c r="G12" s="87">
        <v>0</v>
      </c>
      <c r="H12" s="87">
        <v>0</v>
      </c>
      <c r="I12" s="87">
        <v>0</v>
      </c>
      <c r="J12" s="87">
        <v>0</v>
      </c>
      <c r="K12" s="87">
        <v>0</v>
      </c>
      <c r="L12" s="87">
        <v>0</v>
      </c>
      <c r="M12" s="87">
        <v>0</v>
      </c>
      <c r="N12" s="87">
        <v>0</v>
      </c>
      <c r="O12" s="88">
        <f t="shared" ref="O12:O26" si="0">SUM(C12:N12)</f>
        <v>3.1400300000000003</v>
      </c>
      <c r="P12" s="88">
        <v>3.1400300000000003</v>
      </c>
      <c r="Q12" s="118">
        <f>(+O12-P12)/P12</f>
        <v>0</v>
      </c>
      <c r="R12" s="118"/>
      <c r="U12" s="14"/>
      <c r="V12" s="13"/>
      <c r="W12" s="13"/>
      <c r="X12" s="13"/>
      <c r="Y12" s="51"/>
      <c r="Z12" s="51"/>
      <c r="AA12" s="51"/>
    </row>
    <row r="13" spans="1:27" s="11" customFormat="1" ht="18" x14ac:dyDescent="0.25">
      <c r="A13" s="102">
        <v>2021</v>
      </c>
      <c r="B13" s="86">
        <v>44012</v>
      </c>
      <c r="C13" s="87">
        <v>480.20600000000002</v>
      </c>
      <c r="D13" s="87">
        <v>0</v>
      </c>
      <c r="E13" s="87">
        <v>0</v>
      </c>
      <c r="F13" s="87">
        <v>0</v>
      </c>
      <c r="G13" s="87">
        <v>0</v>
      </c>
      <c r="H13" s="87">
        <v>0</v>
      </c>
      <c r="I13" s="87">
        <v>0</v>
      </c>
      <c r="J13" s="87">
        <v>0</v>
      </c>
      <c r="K13" s="87">
        <v>0</v>
      </c>
      <c r="L13" s="87">
        <v>0</v>
      </c>
      <c r="M13" s="87">
        <v>0</v>
      </c>
      <c r="N13" s="87">
        <v>0</v>
      </c>
      <c r="O13" s="88">
        <f t="shared" si="0"/>
        <v>480.20600000000002</v>
      </c>
      <c r="P13" s="88">
        <v>480.20634000000001</v>
      </c>
      <c r="Q13" s="118">
        <v>0</v>
      </c>
      <c r="R13" s="118"/>
      <c r="S13" s="13"/>
      <c r="T13" s="13"/>
      <c r="U13" s="13"/>
      <c r="V13" s="13"/>
      <c r="W13" s="13"/>
      <c r="X13" s="13"/>
      <c r="Y13" s="51"/>
      <c r="Z13" s="51"/>
      <c r="AA13" s="51"/>
    </row>
    <row r="14" spans="1:27" s="11" customFormat="1" ht="18" x14ac:dyDescent="0.25">
      <c r="A14" s="102">
        <v>2021</v>
      </c>
      <c r="B14" s="81">
        <v>44196</v>
      </c>
      <c r="C14" s="209">
        <v>521.08399999999995</v>
      </c>
      <c r="D14" s="87">
        <v>0</v>
      </c>
      <c r="E14" s="87">
        <v>0</v>
      </c>
      <c r="F14" s="87">
        <v>0</v>
      </c>
      <c r="G14" s="87">
        <v>0</v>
      </c>
      <c r="H14" s="87">
        <v>0</v>
      </c>
      <c r="I14" s="207">
        <v>0</v>
      </c>
      <c r="J14" s="207">
        <v>0</v>
      </c>
      <c r="K14" s="207">
        <v>0</v>
      </c>
      <c r="L14" s="207">
        <v>0</v>
      </c>
      <c r="M14" s="207">
        <v>0</v>
      </c>
      <c r="N14" s="207">
        <v>0</v>
      </c>
      <c r="O14" s="208">
        <f t="shared" si="0"/>
        <v>521.08399999999995</v>
      </c>
      <c r="P14" s="88">
        <v>521.08523804200013</v>
      </c>
      <c r="Q14" s="118">
        <v>0</v>
      </c>
      <c r="R14" s="118"/>
      <c r="U14" s="14"/>
      <c r="V14" s="13"/>
      <c r="W14" s="13"/>
      <c r="X14" s="13"/>
      <c r="Y14" s="51"/>
      <c r="Z14" s="51"/>
      <c r="AA14" s="51"/>
    </row>
    <row r="15" spans="1:27" s="11" customFormat="1" ht="18" x14ac:dyDescent="0.25">
      <c r="A15" s="103">
        <v>2022</v>
      </c>
      <c r="B15" s="92">
        <v>44012</v>
      </c>
      <c r="C15" s="87">
        <f>240554.64/1000</f>
        <v>240.55464000000001</v>
      </c>
      <c r="D15" s="87">
        <v>0</v>
      </c>
      <c r="E15" s="87">
        <v>0</v>
      </c>
      <c r="F15" s="87">
        <v>0</v>
      </c>
      <c r="G15" s="87">
        <v>0</v>
      </c>
      <c r="H15" s="87">
        <v>0</v>
      </c>
      <c r="I15" s="87">
        <v>0</v>
      </c>
      <c r="J15" s="87">
        <v>0</v>
      </c>
      <c r="K15" s="87">
        <v>0</v>
      </c>
      <c r="L15" s="87">
        <v>0</v>
      </c>
      <c r="M15" s="87">
        <v>0</v>
      </c>
      <c r="N15" s="87">
        <v>0</v>
      </c>
      <c r="O15" s="88">
        <f t="shared" si="0"/>
        <v>240.55464000000001</v>
      </c>
      <c r="P15" s="88">
        <v>240.55505000000002</v>
      </c>
      <c r="Q15" s="118">
        <v>0</v>
      </c>
      <c r="R15" s="118"/>
      <c r="S15" s="15"/>
      <c r="T15" s="15"/>
      <c r="U15" s="15"/>
      <c r="V15" s="13"/>
      <c r="W15" s="13"/>
      <c r="X15" s="13"/>
      <c r="Y15" s="51"/>
      <c r="Z15" s="51"/>
      <c r="AA15" s="51"/>
    </row>
    <row r="16" spans="1:27" s="11" customFormat="1" ht="18" x14ac:dyDescent="0.25">
      <c r="A16" s="100">
        <v>2022</v>
      </c>
      <c r="B16" s="86">
        <v>44196</v>
      </c>
      <c r="C16" s="87">
        <v>4017.3836599999995</v>
      </c>
      <c r="D16" s="87">
        <v>0</v>
      </c>
      <c r="E16" s="87">
        <v>454.92961999999994</v>
      </c>
      <c r="F16" s="87">
        <v>0</v>
      </c>
      <c r="G16" s="87">
        <v>0</v>
      </c>
      <c r="H16" s="87">
        <v>154.10347999999999</v>
      </c>
      <c r="I16" s="87">
        <v>0</v>
      </c>
      <c r="J16" s="87">
        <v>0</v>
      </c>
      <c r="K16" s="87">
        <v>161.35747000000001</v>
      </c>
      <c r="L16" s="87">
        <v>0</v>
      </c>
      <c r="M16" s="87">
        <v>0</v>
      </c>
      <c r="N16" s="87">
        <v>165.90055999999998</v>
      </c>
      <c r="O16" s="88">
        <f t="shared" si="0"/>
        <v>4953.6747899999991</v>
      </c>
      <c r="P16" s="88">
        <v>4953.6755199999998</v>
      </c>
      <c r="Q16" s="118">
        <v>0</v>
      </c>
      <c r="R16" s="118"/>
      <c r="U16" s="42"/>
      <c r="V16" s="13"/>
      <c r="W16" s="13"/>
      <c r="X16" s="13"/>
      <c r="Y16" s="51"/>
      <c r="Z16" s="51"/>
      <c r="AA16" s="51"/>
    </row>
    <row r="17" spans="1:28" s="11" customFormat="1" ht="18" x14ac:dyDescent="0.25">
      <c r="A17" s="103">
        <v>2023</v>
      </c>
      <c r="B17" s="92">
        <v>44012</v>
      </c>
      <c r="C17" s="87">
        <v>1439.750560000002</v>
      </c>
      <c r="D17" s="87">
        <v>0</v>
      </c>
      <c r="E17" s="87">
        <v>443.4236800000005</v>
      </c>
      <c r="F17" s="87">
        <v>1.9717299999999998</v>
      </c>
      <c r="G17" s="87">
        <v>0</v>
      </c>
      <c r="H17" s="87">
        <v>35.248940000000005</v>
      </c>
      <c r="I17" s="87">
        <v>0</v>
      </c>
      <c r="J17" s="87">
        <v>0</v>
      </c>
      <c r="K17" s="87">
        <v>29.031149999999986</v>
      </c>
      <c r="L17" s="87">
        <v>0</v>
      </c>
      <c r="M17" s="87">
        <v>0</v>
      </c>
      <c r="N17" s="87">
        <v>30.090529999999976</v>
      </c>
      <c r="O17" s="88">
        <f t="shared" si="0"/>
        <v>1979.5165900000025</v>
      </c>
      <c r="P17" s="88">
        <v>1979.5170826399999</v>
      </c>
      <c r="Q17" s="118">
        <v>0</v>
      </c>
      <c r="R17" s="118"/>
      <c r="U17" s="42"/>
      <c r="V17" s="13"/>
      <c r="W17" s="13"/>
      <c r="X17" s="13"/>
      <c r="Y17" s="51"/>
      <c r="Z17" s="51"/>
      <c r="AA17" s="51"/>
    </row>
    <row r="18" spans="1:28" s="11" customFormat="1" ht="18" x14ac:dyDescent="0.25">
      <c r="A18" s="100">
        <v>2023</v>
      </c>
      <c r="B18" s="86">
        <v>44196</v>
      </c>
      <c r="C18" s="87">
        <v>2860.7067399999942</v>
      </c>
      <c r="D18" s="87">
        <v>0.37278999999999995</v>
      </c>
      <c r="E18" s="87">
        <v>5438.8976100000054</v>
      </c>
      <c r="F18" s="87">
        <v>2400.7392799999998</v>
      </c>
      <c r="G18" s="87">
        <v>0.19241999999999998</v>
      </c>
      <c r="H18" s="87">
        <v>51.249290000000023</v>
      </c>
      <c r="I18" s="87">
        <v>2473.5140399999996</v>
      </c>
      <c r="J18" s="87">
        <v>0</v>
      </c>
      <c r="K18" s="87">
        <v>46.952620000000024</v>
      </c>
      <c r="L18" s="87">
        <v>923.94941000000017</v>
      </c>
      <c r="M18" s="87">
        <v>0</v>
      </c>
      <c r="N18" s="87">
        <v>56.085910000000005</v>
      </c>
      <c r="O18" s="88">
        <f t="shared" si="0"/>
        <v>14252.660109999999</v>
      </c>
      <c r="P18" s="88">
        <v>14252.661528896997</v>
      </c>
      <c r="Q18" s="118">
        <v>0</v>
      </c>
      <c r="R18" s="118"/>
      <c r="U18" s="14"/>
      <c r="V18" s="13"/>
      <c r="W18" s="13"/>
      <c r="X18" s="13"/>
      <c r="Y18" s="51"/>
      <c r="Z18" s="51"/>
      <c r="AA18" s="51"/>
    </row>
    <row r="19" spans="1:28" s="11" customFormat="1" ht="18" x14ac:dyDescent="0.25">
      <c r="A19" s="102">
        <v>2024</v>
      </c>
      <c r="B19" s="86">
        <v>44012</v>
      </c>
      <c r="C19" s="87">
        <v>2290.4398800000054</v>
      </c>
      <c r="D19" s="87">
        <v>1.5114100000000004</v>
      </c>
      <c r="E19" s="87">
        <v>1195.3349900000012</v>
      </c>
      <c r="F19" s="87">
        <v>163.00151000000048</v>
      </c>
      <c r="G19" s="87">
        <v>1.3842999999999994</v>
      </c>
      <c r="H19" s="87">
        <v>212.33139000000006</v>
      </c>
      <c r="I19" s="87">
        <v>1141.8419800000006</v>
      </c>
      <c r="J19" s="87">
        <v>-16.154180000000025</v>
      </c>
      <c r="K19" s="87">
        <v>120.59927999999998</v>
      </c>
      <c r="L19" s="87">
        <v>910.0753500000003</v>
      </c>
      <c r="M19" s="87">
        <v>356.17720999999995</v>
      </c>
      <c r="N19" s="87">
        <v>48.037199999999999</v>
      </c>
      <c r="O19" s="88">
        <f t="shared" si="0"/>
        <v>6424.5803200000073</v>
      </c>
      <c r="P19" s="88">
        <v>11798.628157664431</v>
      </c>
      <c r="Q19" s="200">
        <f>(+O19-P19)/P19</f>
        <v>-0.45548073605264211</v>
      </c>
      <c r="R19" s="118"/>
      <c r="U19" s="43"/>
      <c r="V19" s="13"/>
      <c r="W19" s="13"/>
      <c r="X19" s="13"/>
      <c r="Y19" s="51"/>
      <c r="Z19" s="51"/>
      <c r="AA19" s="51"/>
    </row>
    <row r="20" spans="1:28" s="11" customFormat="1" ht="18" x14ac:dyDescent="0.25">
      <c r="A20" s="102">
        <v>2024</v>
      </c>
      <c r="B20" s="86">
        <v>44196</v>
      </c>
      <c r="C20" s="87">
        <v>3879.1042100000095</v>
      </c>
      <c r="D20" s="87">
        <v>37.533550000000005</v>
      </c>
      <c r="E20" s="87">
        <v>5903.5662799999855</v>
      </c>
      <c r="F20" s="87">
        <v>2479.6736599999999</v>
      </c>
      <c r="G20" s="87">
        <v>24.527249999999995</v>
      </c>
      <c r="H20" s="87">
        <v>118.7663</v>
      </c>
      <c r="I20" s="87">
        <v>1425.3879300000001</v>
      </c>
      <c r="J20" s="87">
        <v>3344.3325599999998</v>
      </c>
      <c r="K20" s="87">
        <v>236.68984999999998</v>
      </c>
      <c r="L20" s="87">
        <v>1239.8626600000007</v>
      </c>
      <c r="M20" s="87">
        <v>560.6795400000002</v>
      </c>
      <c r="N20" s="87">
        <v>209.98053999999991</v>
      </c>
      <c r="O20" s="88">
        <f t="shared" si="0"/>
        <v>19460.104329999995</v>
      </c>
      <c r="P20" s="88">
        <v>19768.214104719937</v>
      </c>
      <c r="Q20" s="200">
        <f>(+O20-P20)/P20</f>
        <v>-1.5586120885162633E-2</v>
      </c>
      <c r="R20" s="118" t="s">
        <v>28</v>
      </c>
      <c r="U20" s="14"/>
      <c r="V20" s="13"/>
      <c r="W20" s="13"/>
      <c r="X20" s="13"/>
      <c r="Y20" s="51"/>
      <c r="Z20" s="51"/>
      <c r="AA20" s="51"/>
    </row>
    <row r="21" spans="1:28" s="11" customFormat="1" ht="18" x14ac:dyDescent="0.25">
      <c r="A21" s="102">
        <v>2025</v>
      </c>
      <c r="B21" s="92">
        <v>44012</v>
      </c>
      <c r="C21" s="87">
        <v>5166.2628600000126</v>
      </c>
      <c r="D21" s="87">
        <v>118.84555000000009</v>
      </c>
      <c r="E21" s="87">
        <v>4094.4510900000005</v>
      </c>
      <c r="F21" s="87">
        <v>253.4890399999999</v>
      </c>
      <c r="G21" s="87">
        <v>86.99052000000006</v>
      </c>
      <c r="H21" s="87">
        <v>311.65446999999978</v>
      </c>
      <c r="I21" s="87">
        <v>282.15798000000001</v>
      </c>
      <c r="J21" s="87">
        <v>141.85826999999998</v>
      </c>
      <c r="K21" s="87">
        <v>47.529730000000029</v>
      </c>
      <c r="L21" s="87">
        <v>823.08991000000015</v>
      </c>
      <c r="M21" s="87">
        <v>568.94887999999992</v>
      </c>
      <c r="N21" s="87">
        <v>307.99723999999986</v>
      </c>
      <c r="O21" s="88">
        <f t="shared" si="0"/>
        <v>12203.275540000015</v>
      </c>
      <c r="P21" s="88">
        <v>25355.239545763307</v>
      </c>
      <c r="Q21" s="200">
        <f>(+O21-P21)/P21</f>
        <v>-0.51870793734862974</v>
      </c>
      <c r="R21" s="118"/>
      <c r="S21" s="20"/>
      <c r="U21" s="14"/>
      <c r="V21" s="13"/>
      <c r="W21" s="13"/>
      <c r="X21" s="13"/>
      <c r="Y21" s="51"/>
      <c r="Z21" s="51"/>
      <c r="AA21" s="51"/>
    </row>
    <row r="22" spans="1:28" s="11" customFormat="1" ht="18" x14ac:dyDescent="0.25">
      <c r="A22" s="102">
        <v>2025</v>
      </c>
      <c r="B22" s="86">
        <v>44196</v>
      </c>
      <c r="C22" s="87"/>
      <c r="D22" s="87"/>
      <c r="E22" s="87"/>
      <c r="F22" s="87"/>
      <c r="G22" s="87"/>
      <c r="H22" s="87"/>
      <c r="I22" s="87"/>
      <c r="J22" s="87"/>
      <c r="K22" s="87"/>
      <c r="L22" s="87"/>
      <c r="M22" s="87"/>
      <c r="N22" s="87"/>
      <c r="O22" s="88">
        <f t="shared" si="0"/>
        <v>0</v>
      </c>
      <c r="P22" s="88">
        <v>34223.673766761254</v>
      </c>
      <c r="Q22" s="202"/>
      <c r="R22" s="118"/>
      <c r="S22" s="20"/>
      <c r="U22" s="14"/>
      <c r="V22" s="13"/>
      <c r="W22" s="13"/>
      <c r="X22" s="13"/>
      <c r="Y22" s="51"/>
      <c r="Z22" s="51"/>
      <c r="AA22" s="51"/>
    </row>
    <row r="23" spans="1:28" s="11" customFormat="1" ht="18" x14ac:dyDescent="0.25">
      <c r="A23" s="102">
        <f>A21+1</f>
        <v>2026</v>
      </c>
      <c r="B23" s="86">
        <v>44012</v>
      </c>
      <c r="C23" s="87"/>
      <c r="D23" s="87"/>
      <c r="E23" s="87"/>
      <c r="F23" s="87"/>
      <c r="G23" s="87"/>
      <c r="H23" s="87"/>
      <c r="I23" s="87"/>
      <c r="J23" s="87"/>
      <c r="K23" s="87"/>
      <c r="L23" s="87"/>
      <c r="M23" s="87"/>
      <c r="N23" s="87"/>
      <c r="O23" s="88">
        <f t="shared" si="0"/>
        <v>0</v>
      </c>
      <c r="P23" s="88">
        <v>17567.298781964964</v>
      </c>
      <c r="Q23" s="202"/>
      <c r="R23" s="193"/>
      <c r="S23" s="20"/>
      <c r="U23" s="14"/>
      <c r="V23" s="13"/>
      <c r="W23" s="13"/>
      <c r="X23" s="13"/>
      <c r="Y23" s="51"/>
      <c r="Z23" s="51"/>
      <c r="AA23" s="51"/>
    </row>
    <row r="24" spans="1:28" s="11" customFormat="1" ht="18" x14ac:dyDescent="0.25">
      <c r="A24" s="102">
        <f>A22+1</f>
        <v>2026</v>
      </c>
      <c r="B24" s="86">
        <v>44196</v>
      </c>
      <c r="C24" s="87"/>
      <c r="D24" s="87"/>
      <c r="E24" s="87"/>
      <c r="F24" s="87"/>
      <c r="G24" s="87"/>
      <c r="H24" s="87"/>
      <c r="I24" s="87"/>
      <c r="J24" s="87"/>
      <c r="K24" s="87"/>
      <c r="L24" s="87"/>
      <c r="M24" s="87"/>
      <c r="N24" s="87"/>
      <c r="O24" s="88">
        <f t="shared" si="0"/>
        <v>0</v>
      </c>
      <c r="P24" s="88">
        <v>17230.565463083571</v>
      </c>
      <c r="Q24" s="202"/>
      <c r="R24" s="193"/>
      <c r="S24" s="20"/>
      <c r="U24" s="14"/>
      <c r="V24" s="13"/>
      <c r="W24" s="13"/>
      <c r="X24" s="13"/>
      <c r="Y24" s="51"/>
      <c r="Z24" s="51"/>
      <c r="AA24" s="51"/>
    </row>
    <row r="25" spans="1:28" s="11" customFormat="1" ht="18" x14ac:dyDescent="0.25">
      <c r="A25" s="102">
        <f t="shared" ref="A25:A26" si="1">A23+1</f>
        <v>2027</v>
      </c>
      <c r="B25" s="92">
        <v>44012</v>
      </c>
      <c r="C25" s="87"/>
      <c r="D25" s="87"/>
      <c r="E25" s="87"/>
      <c r="F25" s="87"/>
      <c r="G25" s="87"/>
      <c r="H25" s="87"/>
      <c r="I25" s="87"/>
      <c r="J25" s="87"/>
      <c r="K25" s="87"/>
      <c r="L25" s="87"/>
      <c r="M25" s="87"/>
      <c r="N25" s="87"/>
      <c r="O25" s="88">
        <f t="shared" si="0"/>
        <v>0</v>
      </c>
      <c r="P25" s="88">
        <v>4233.2106104635395</v>
      </c>
      <c r="Q25" s="202"/>
      <c r="R25" s="193"/>
      <c r="S25" s="284"/>
      <c r="U25" s="14"/>
      <c r="V25" s="13"/>
      <c r="W25" s="13"/>
      <c r="X25" s="13"/>
      <c r="Y25" s="51"/>
      <c r="Z25" s="51"/>
      <c r="AA25" s="51"/>
    </row>
    <row r="26" spans="1:28" s="11" customFormat="1" ht="18.75" thickBot="1" x14ac:dyDescent="0.3">
      <c r="A26" s="104">
        <f t="shared" si="1"/>
        <v>2027</v>
      </c>
      <c r="B26" s="95">
        <v>44196</v>
      </c>
      <c r="C26" s="97"/>
      <c r="D26" s="97"/>
      <c r="E26" s="97"/>
      <c r="F26" s="97"/>
      <c r="G26" s="97"/>
      <c r="H26" s="97"/>
      <c r="I26" s="97"/>
      <c r="J26" s="97"/>
      <c r="K26" s="97"/>
      <c r="L26" s="97"/>
      <c r="M26" s="97"/>
      <c r="N26" s="97"/>
      <c r="O26" s="88">
        <f t="shared" si="0"/>
        <v>0</v>
      </c>
      <c r="P26" s="88">
        <v>0</v>
      </c>
      <c r="Q26" s="293"/>
      <c r="R26" s="194"/>
      <c r="S26" s="20"/>
      <c r="U26" s="14"/>
      <c r="V26" s="13"/>
      <c r="W26" s="13"/>
      <c r="X26" s="13"/>
      <c r="Y26" s="51"/>
      <c r="Z26" s="51"/>
      <c r="AA26" s="51"/>
    </row>
    <row r="27" spans="1:28" s="11" customFormat="1" ht="18.75" thickBot="1" x14ac:dyDescent="0.3">
      <c r="A27" s="351" t="s">
        <v>24</v>
      </c>
      <c r="B27" s="352"/>
      <c r="C27" s="89">
        <f>SUM(C11:C26)</f>
        <v>21332.872580000025</v>
      </c>
      <c r="D27" s="89">
        <f t="shared" ref="D27:N27" si="2">SUM(D11:D26)</f>
        <v>158.2633000000001</v>
      </c>
      <c r="E27" s="89">
        <f t="shared" si="2"/>
        <v>17530.603269999992</v>
      </c>
      <c r="F27" s="89">
        <f t="shared" si="2"/>
        <v>5298.8752199999999</v>
      </c>
      <c r="G27" s="89">
        <f t="shared" si="2"/>
        <v>113.09449000000005</v>
      </c>
      <c r="H27" s="89">
        <f t="shared" si="2"/>
        <v>883.35386999999992</v>
      </c>
      <c r="I27" s="89">
        <f t="shared" si="2"/>
        <v>5322.90193</v>
      </c>
      <c r="J27" s="89">
        <f t="shared" si="2"/>
        <v>3470.03665</v>
      </c>
      <c r="K27" s="89">
        <f t="shared" si="2"/>
        <v>642.16010000000006</v>
      </c>
      <c r="L27" s="89">
        <f t="shared" si="2"/>
        <v>3896.9773300000011</v>
      </c>
      <c r="M27" s="89">
        <f t="shared" si="2"/>
        <v>1485.8056300000001</v>
      </c>
      <c r="N27" s="89">
        <f t="shared" si="2"/>
        <v>818.09197999999969</v>
      </c>
      <c r="O27" s="89">
        <f>SUM(O11:O26)</f>
        <v>60953.036350000024</v>
      </c>
      <c r="P27" s="89">
        <f>SUM(P11:P26)</f>
        <v>153041.91073999999</v>
      </c>
      <c r="Q27" s="290">
        <f>(P28-P27)/P27</f>
        <v>1.5224601560098092E-8</v>
      </c>
      <c r="R27" s="89" t="s">
        <v>27</v>
      </c>
      <c r="U27" s="59"/>
      <c r="V27" s="14"/>
      <c r="W27" s="13"/>
      <c r="X27" s="13"/>
      <c r="Y27" s="13"/>
      <c r="Z27" s="51"/>
      <c r="AA27" s="51"/>
      <c r="AB27" s="51"/>
    </row>
    <row r="28" spans="1:28" s="11" customFormat="1" ht="16.5" thickBot="1" x14ac:dyDescent="0.25">
      <c r="B28" s="16"/>
      <c r="C28" s="318"/>
      <c r="D28" s="318"/>
      <c r="E28" s="319"/>
      <c r="F28" s="319"/>
      <c r="G28" s="318"/>
      <c r="H28" s="318"/>
      <c r="I28" s="318"/>
      <c r="J28" s="318"/>
      <c r="K28" s="318"/>
      <c r="L28" s="19"/>
      <c r="M28" s="19"/>
      <c r="N28" s="382" t="s">
        <v>46</v>
      </c>
      <c r="O28" s="383"/>
      <c r="P28" s="89">
        <v>153041.91307000211</v>
      </c>
      <c r="R28" s="59"/>
    </row>
    <row r="29" spans="1:28" s="11" customFormat="1" x14ac:dyDescent="0.2">
      <c r="A29" s="8" t="s">
        <v>25</v>
      </c>
      <c r="G29" s="37"/>
      <c r="H29" s="37"/>
      <c r="I29" s="37"/>
      <c r="J29" s="37"/>
      <c r="K29" s="37"/>
      <c r="L29" s="38"/>
      <c r="M29" s="38"/>
      <c r="Q29" s="15"/>
      <c r="R29" s="59"/>
    </row>
    <row r="30" spans="1:28" ht="14.25" x14ac:dyDescent="0.2">
      <c r="A30" s="6"/>
      <c r="E30" s="21"/>
      <c r="F30" s="21"/>
      <c r="O30" s="19"/>
      <c r="P30" s="11"/>
      <c r="Q30" s="22"/>
      <c r="R30" s="36"/>
    </row>
    <row r="31" spans="1:28" s="11" customFormat="1" ht="18.75" customHeight="1" thickBot="1" x14ac:dyDescent="0.3">
      <c r="A31" s="339" t="s">
        <v>26</v>
      </c>
      <c r="B31" s="392"/>
      <c r="C31" s="392"/>
      <c r="D31" s="392"/>
      <c r="E31" s="392"/>
      <c r="F31" s="392"/>
      <c r="G31" s="392"/>
      <c r="H31" s="392"/>
      <c r="I31" s="392"/>
      <c r="J31" s="392"/>
      <c r="K31" s="392"/>
      <c r="L31" s="392"/>
      <c r="M31" s="392"/>
      <c r="N31" s="393"/>
      <c r="O31" s="165"/>
      <c r="P31" s="165"/>
      <c r="Q31" s="15"/>
    </row>
    <row r="32" spans="1:28" s="11" customFormat="1" ht="23.25" customHeight="1" thickBot="1" x14ac:dyDescent="0.25">
      <c r="A32" s="61" t="s">
        <v>27</v>
      </c>
      <c r="B32" s="348" t="s">
        <v>67</v>
      </c>
      <c r="C32" s="349"/>
      <c r="D32" s="349"/>
      <c r="E32" s="349"/>
      <c r="F32" s="349"/>
      <c r="G32" s="349"/>
      <c r="H32" s="349"/>
      <c r="I32" s="349"/>
      <c r="J32" s="349"/>
      <c r="K32" s="349"/>
      <c r="L32" s="349"/>
      <c r="M32" s="349"/>
      <c r="N32" s="350"/>
      <c r="O32" s="19"/>
      <c r="Q32" s="15"/>
    </row>
    <row r="33" spans="1:17" s="11" customFormat="1" ht="23.25" customHeight="1" thickBot="1" x14ac:dyDescent="0.25">
      <c r="A33" s="61" t="s">
        <v>28</v>
      </c>
      <c r="B33" s="348" t="s">
        <v>68</v>
      </c>
      <c r="C33" s="349"/>
      <c r="D33" s="349"/>
      <c r="E33" s="349"/>
      <c r="F33" s="349"/>
      <c r="G33" s="349"/>
      <c r="H33" s="349"/>
      <c r="I33" s="349"/>
      <c r="J33" s="349"/>
      <c r="K33" s="349"/>
      <c r="L33" s="349"/>
      <c r="M33" s="349"/>
      <c r="N33" s="350"/>
      <c r="O33" s="165"/>
      <c r="P33" s="165"/>
      <c r="Q33" s="15"/>
    </row>
    <row r="34" spans="1:17" s="11" customFormat="1" ht="23.25" customHeight="1" x14ac:dyDescent="0.2">
      <c r="A34" s="61" t="s">
        <v>29</v>
      </c>
      <c r="B34" s="389"/>
      <c r="C34" s="390"/>
      <c r="D34" s="390"/>
      <c r="E34" s="390"/>
      <c r="F34" s="390"/>
      <c r="G34" s="390"/>
      <c r="H34" s="390"/>
      <c r="I34" s="390"/>
      <c r="J34" s="390"/>
      <c r="K34" s="390"/>
      <c r="L34" s="390"/>
      <c r="M34" s="390"/>
      <c r="N34" s="391"/>
      <c r="O34" s="19"/>
      <c r="Q34" s="15"/>
    </row>
    <row r="35" spans="1:17" ht="16.350000000000001" customHeight="1" x14ac:dyDescent="0.2">
      <c r="A35" s="62"/>
      <c r="B35" s="158"/>
      <c r="C35" s="158"/>
      <c r="D35" s="158"/>
      <c r="E35" s="158"/>
      <c r="F35" s="158"/>
      <c r="G35" s="158"/>
      <c r="H35" s="158"/>
      <c r="I35" s="158"/>
      <c r="J35" s="158"/>
      <c r="K35" s="158"/>
      <c r="L35" s="158"/>
      <c r="M35" s="158"/>
      <c r="N35" s="158"/>
      <c r="O35" s="165"/>
      <c r="P35" s="165"/>
      <c r="Q35" s="22"/>
    </row>
    <row r="36" spans="1:17" x14ac:dyDescent="0.2">
      <c r="A36" s="1" t="s">
        <v>51</v>
      </c>
      <c r="Q36" s="22"/>
    </row>
    <row r="37" spans="1:17" x14ac:dyDescent="0.2">
      <c r="A37" s="1" t="s">
        <v>69</v>
      </c>
      <c r="C37" s="216"/>
      <c r="D37" s="216"/>
      <c r="Q37" s="22"/>
    </row>
    <row r="38" spans="1:17" x14ac:dyDescent="0.2">
      <c r="A38" s="1" t="s">
        <v>70</v>
      </c>
      <c r="C38" s="23"/>
      <c r="D38" s="23"/>
      <c r="Q38" s="22"/>
    </row>
    <row r="39" spans="1:17" x14ac:dyDescent="0.2">
      <c r="C39" s="23"/>
      <c r="D39" s="23"/>
      <c r="Q39" s="22"/>
    </row>
    <row r="40" spans="1:17" x14ac:dyDescent="0.2">
      <c r="A40" s="1" t="s">
        <v>71</v>
      </c>
      <c r="Q40" s="22"/>
    </row>
    <row r="41" spans="1:17" x14ac:dyDescent="0.2">
      <c r="Q41" s="22"/>
    </row>
    <row r="42" spans="1:17" x14ac:dyDescent="0.2">
      <c r="G42" s="44"/>
      <c r="H42" s="44"/>
      <c r="I42" s="44"/>
      <c r="J42" s="44"/>
      <c r="K42" s="44"/>
      <c r="Q42" s="22"/>
    </row>
    <row r="43" spans="1:17" x14ac:dyDescent="0.2">
      <c r="Q43" s="22"/>
    </row>
    <row r="44" spans="1:17" x14ac:dyDescent="0.2">
      <c r="Q44" s="22"/>
    </row>
    <row r="45" spans="1:17" x14ac:dyDescent="0.2">
      <c r="Q45" s="22"/>
    </row>
    <row r="46" spans="1:17" x14ac:dyDescent="0.2">
      <c r="Q46" s="22"/>
    </row>
    <row r="47" spans="1:17" x14ac:dyDescent="0.2">
      <c r="Q47" s="22"/>
    </row>
    <row r="48" spans="1:17" x14ac:dyDescent="0.2">
      <c r="Q48" s="22"/>
    </row>
    <row r="49" spans="17:17" x14ac:dyDescent="0.2">
      <c r="Q49" s="22"/>
    </row>
    <row r="50" spans="17:17" x14ac:dyDescent="0.2">
      <c r="Q50" s="22"/>
    </row>
    <row r="51" spans="17:17" x14ac:dyDescent="0.2">
      <c r="Q51" s="22"/>
    </row>
    <row r="52" spans="17:17" x14ac:dyDescent="0.2">
      <c r="Q52" s="22"/>
    </row>
    <row r="53" spans="17:17" x14ac:dyDescent="0.2">
      <c r="Q53" s="22"/>
    </row>
    <row r="54" spans="17:17" x14ac:dyDescent="0.2">
      <c r="Q54" s="22"/>
    </row>
    <row r="55" spans="17:17" x14ac:dyDescent="0.2">
      <c r="Q55" s="22"/>
    </row>
    <row r="56" spans="17:17" x14ac:dyDescent="0.2">
      <c r="Q56" s="22"/>
    </row>
    <row r="57" spans="17:17" x14ac:dyDescent="0.2">
      <c r="Q57" s="22"/>
    </row>
    <row r="58" spans="17:17" x14ac:dyDescent="0.2">
      <c r="Q58" s="22"/>
    </row>
    <row r="59" spans="17:17" x14ac:dyDescent="0.2">
      <c r="Q59" s="22"/>
    </row>
    <row r="60" spans="17:17" x14ac:dyDescent="0.2">
      <c r="Q60" s="22"/>
    </row>
    <row r="61" spans="17:17" x14ac:dyDescent="0.2">
      <c r="Q61" s="22"/>
    </row>
    <row r="62" spans="17:17" x14ac:dyDescent="0.2">
      <c r="Q62" s="22"/>
    </row>
    <row r="63" spans="17:17" x14ac:dyDescent="0.2">
      <c r="Q63" s="22"/>
    </row>
    <row r="64" spans="17:17" x14ac:dyDescent="0.2">
      <c r="Q64" s="22"/>
    </row>
    <row r="65" spans="17:17" x14ac:dyDescent="0.2">
      <c r="Q65" s="22"/>
    </row>
    <row r="66" spans="17:17" x14ac:dyDescent="0.2">
      <c r="Q66" s="22"/>
    </row>
  </sheetData>
  <mergeCells count="21">
    <mergeCell ref="B34:N34"/>
    <mergeCell ref="O7:O9"/>
    <mergeCell ref="P7:P9"/>
    <mergeCell ref="Q7:Q9"/>
    <mergeCell ref="C7:E9"/>
    <mergeCell ref="F7:H9"/>
    <mergeCell ref="I7:K9"/>
    <mergeCell ref="L7:N9"/>
    <mergeCell ref="A31:N31"/>
    <mergeCell ref="B32:N32"/>
    <mergeCell ref="B33:N33"/>
    <mergeCell ref="A27:B27"/>
    <mergeCell ref="A7:A9"/>
    <mergeCell ref="B7:B9"/>
    <mergeCell ref="N28:O28"/>
    <mergeCell ref="A6:N6"/>
    <mergeCell ref="R7:R9"/>
    <mergeCell ref="A1:Q1"/>
    <mergeCell ref="A2:Q2"/>
    <mergeCell ref="A3:Q3"/>
    <mergeCell ref="A4:Q4"/>
  </mergeCells>
  <printOptions horizontalCentered="1"/>
  <pageMargins left="0.67" right="0.65" top="0.78" bottom="0.75" header="0.52" footer="0.3"/>
  <pageSetup scale="31" fitToHeight="2" orientation="landscape" r:id="rId1"/>
  <headerFooter alignWithMargins="0">
    <oddHeader>&amp;R&amp;F</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0AE98-BF14-4904-8B08-5A233F09AF15}">
  <dimension ref="A1:R61"/>
  <sheetViews>
    <sheetView view="pageLayout" zoomScaleNormal="80" workbookViewId="0">
      <selection sqref="A1:K1"/>
    </sheetView>
  </sheetViews>
  <sheetFormatPr defaultColWidth="9.42578125" defaultRowHeight="12.75" x14ac:dyDescent="0.2"/>
  <cols>
    <col min="1" max="1" width="18.42578125" style="222" bestFit="1" customWidth="1"/>
    <col min="2" max="2" width="23.42578125" style="222" customWidth="1"/>
    <col min="3" max="8" width="15.5703125" style="222" customWidth="1"/>
    <col min="9" max="11" width="20.42578125" style="222" customWidth="1"/>
    <col min="12" max="12" width="13.42578125" style="222" customWidth="1"/>
    <col min="13" max="13" width="14.42578125" style="222" bestFit="1" customWidth="1"/>
    <col min="14" max="14" width="12.5703125" style="222" bestFit="1" customWidth="1"/>
    <col min="15" max="15" width="11.5703125" style="222" bestFit="1" customWidth="1"/>
    <col min="16" max="16" width="10.42578125" style="222" bestFit="1" customWidth="1"/>
    <col min="17" max="17" width="11.5703125" style="222" bestFit="1" customWidth="1"/>
    <col min="18" max="22" width="9.42578125" style="222" bestFit="1" customWidth="1"/>
    <col min="23" max="23" width="17.5703125" style="222" bestFit="1" customWidth="1"/>
    <col min="24" max="24" width="19.42578125" style="222" bestFit="1" customWidth="1"/>
    <col min="25" max="26" width="15.42578125" style="222" bestFit="1" customWidth="1"/>
    <col min="27" max="16384" width="9.42578125" style="222"/>
  </cols>
  <sheetData>
    <row r="1" spans="1:17" ht="18" x14ac:dyDescent="0.25">
      <c r="A1" s="361" t="s">
        <v>444</v>
      </c>
      <c r="B1" s="361"/>
      <c r="C1" s="361"/>
      <c r="D1" s="361"/>
      <c r="E1" s="361"/>
      <c r="F1" s="361"/>
      <c r="G1" s="361"/>
      <c r="H1" s="361"/>
      <c r="I1" s="361"/>
      <c r="J1" s="361"/>
      <c r="K1" s="361"/>
    </row>
    <row r="2" spans="1:17" ht="18" x14ac:dyDescent="0.25">
      <c r="A2" s="361" t="s">
        <v>0</v>
      </c>
      <c r="B2" s="361"/>
      <c r="C2" s="361"/>
      <c r="D2" s="361"/>
      <c r="E2" s="361"/>
      <c r="F2" s="361"/>
      <c r="G2" s="361"/>
      <c r="H2" s="361"/>
      <c r="I2" s="361"/>
      <c r="J2" s="361"/>
      <c r="K2" s="361"/>
    </row>
    <row r="3" spans="1:17" ht="18" x14ac:dyDescent="0.25">
      <c r="A3" s="363" t="s">
        <v>1</v>
      </c>
      <c r="B3" s="361"/>
      <c r="C3" s="361"/>
      <c r="D3" s="361"/>
      <c r="E3" s="361"/>
      <c r="F3" s="361"/>
      <c r="G3" s="361"/>
      <c r="H3" s="361"/>
      <c r="I3" s="361"/>
      <c r="J3" s="361"/>
      <c r="K3" s="361"/>
      <c r="L3" s="99"/>
    </row>
    <row r="4" spans="1:17" ht="19.5" customHeight="1" x14ac:dyDescent="0.25">
      <c r="A4" s="361" t="s">
        <v>72</v>
      </c>
      <c r="B4" s="361"/>
      <c r="C4" s="361"/>
      <c r="D4" s="361"/>
      <c r="E4" s="361"/>
      <c r="F4" s="361"/>
      <c r="G4" s="361"/>
      <c r="H4" s="361"/>
      <c r="I4" s="361"/>
      <c r="J4" s="361"/>
      <c r="K4" s="361"/>
    </row>
    <row r="5" spans="1:17" ht="13.5" thickBot="1" x14ac:dyDescent="0.25">
      <c r="A5" s="65"/>
      <c r="B5" s="65"/>
      <c r="C5" s="65"/>
      <c r="D5" s="65"/>
      <c r="E5" s="65"/>
      <c r="F5" s="65"/>
      <c r="G5" s="65"/>
      <c r="H5" s="65"/>
      <c r="I5" s="224"/>
    </row>
    <row r="6" spans="1:17" ht="16.5" thickBot="1" x14ac:dyDescent="0.3">
      <c r="A6" s="367" t="s">
        <v>33</v>
      </c>
      <c r="B6" s="329"/>
      <c r="C6" s="329"/>
      <c r="D6" s="329"/>
      <c r="E6" s="329"/>
      <c r="F6" s="329"/>
      <c r="G6" s="329"/>
      <c r="H6" s="330"/>
      <c r="I6" s="224"/>
    </row>
    <row r="7" spans="1:17" s="223" customFormat="1" ht="12.75" customHeight="1" x14ac:dyDescent="0.2">
      <c r="A7" s="353" t="s">
        <v>6</v>
      </c>
      <c r="B7" s="356" t="s">
        <v>7</v>
      </c>
      <c r="C7" s="335" t="s">
        <v>34</v>
      </c>
      <c r="D7" s="370"/>
      <c r="E7" s="370"/>
      <c r="F7" s="335" t="s">
        <v>35</v>
      </c>
      <c r="G7" s="370"/>
      <c r="H7" s="371"/>
      <c r="I7" s="334" t="s">
        <v>38</v>
      </c>
      <c r="J7" s="331" t="s">
        <v>39</v>
      </c>
      <c r="K7" s="331" t="s">
        <v>40</v>
      </c>
      <c r="L7" s="331" t="s">
        <v>41</v>
      </c>
    </row>
    <row r="8" spans="1:17" s="223" customFormat="1" ht="12.6" customHeight="1" x14ac:dyDescent="0.2">
      <c r="A8" s="354"/>
      <c r="B8" s="357"/>
      <c r="C8" s="336"/>
      <c r="D8" s="372"/>
      <c r="E8" s="372"/>
      <c r="F8" s="336"/>
      <c r="G8" s="372"/>
      <c r="H8" s="373"/>
      <c r="I8" s="332"/>
      <c r="J8" s="332"/>
      <c r="K8" s="332"/>
      <c r="L8" s="332"/>
    </row>
    <row r="9" spans="1:17" s="223" customFormat="1" ht="28.5" customHeight="1" thickBot="1" x14ac:dyDescent="0.25">
      <c r="A9" s="355"/>
      <c r="B9" s="358"/>
      <c r="C9" s="337"/>
      <c r="D9" s="374"/>
      <c r="E9" s="374"/>
      <c r="F9" s="337"/>
      <c r="G9" s="374"/>
      <c r="H9" s="375"/>
      <c r="I9" s="333"/>
      <c r="J9" s="333"/>
      <c r="K9" s="333"/>
      <c r="L9" s="333"/>
    </row>
    <row r="10" spans="1:17" s="223" customFormat="1" ht="28.5" customHeight="1" thickBot="1" x14ac:dyDescent="0.25">
      <c r="A10" s="160"/>
      <c r="B10" s="161"/>
      <c r="C10" s="162" t="s">
        <v>42</v>
      </c>
      <c r="D10" s="162" t="s">
        <v>43</v>
      </c>
      <c r="E10" s="162" t="s">
        <v>44</v>
      </c>
      <c r="F10" s="162" t="s">
        <v>42</v>
      </c>
      <c r="G10" s="162" t="s">
        <v>43</v>
      </c>
      <c r="H10" s="162" t="s">
        <v>44</v>
      </c>
      <c r="I10" s="162"/>
      <c r="J10" s="162"/>
      <c r="K10" s="162"/>
      <c r="L10" s="122"/>
    </row>
    <row r="11" spans="1:17" ht="18" x14ac:dyDescent="0.25">
      <c r="A11" s="101">
        <v>2020</v>
      </c>
      <c r="B11" s="225">
        <v>44012</v>
      </c>
      <c r="C11" s="228">
        <v>0</v>
      </c>
      <c r="D11" s="228">
        <v>0</v>
      </c>
      <c r="E11" s="228">
        <v>0</v>
      </c>
      <c r="F11" s="228">
        <v>0</v>
      </c>
      <c r="G11" s="228">
        <v>0</v>
      </c>
      <c r="H11" s="228">
        <v>0</v>
      </c>
      <c r="I11" s="221">
        <f t="shared" ref="I11:I22" si="0">SUM(C11:H11)</f>
        <v>0</v>
      </c>
      <c r="J11" s="221">
        <v>0</v>
      </c>
      <c r="K11" s="259"/>
      <c r="L11" s="200"/>
      <c r="N11" s="226"/>
      <c r="O11" s="51"/>
      <c r="P11" s="51"/>
      <c r="Q11" s="51"/>
    </row>
    <row r="12" spans="1:17" s="223" customFormat="1" ht="18" x14ac:dyDescent="0.25">
      <c r="A12" s="100">
        <v>2020</v>
      </c>
      <c r="B12" s="227">
        <v>44196</v>
      </c>
      <c r="C12" s="228">
        <v>0</v>
      </c>
      <c r="D12" s="228">
        <v>0</v>
      </c>
      <c r="E12" s="228">
        <v>0</v>
      </c>
      <c r="F12" s="228">
        <v>0</v>
      </c>
      <c r="G12" s="228">
        <v>0</v>
      </c>
      <c r="H12" s="228">
        <v>0</v>
      </c>
      <c r="I12" s="221">
        <f t="shared" si="0"/>
        <v>0</v>
      </c>
      <c r="J12" s="221">
        <v>0</v>
      </c>
      <c r="K12" s="124"/>
      <c r="L12" s="200"/>
      <c r="N12" s="226"/>
      <c r="O12" s="51"/>
      <c r="P12" s="51"/>
      <c r="Q12" s="51"/>
    </row>
    <row r="13" spans="1:17" s="223" customFormat="1" ht="18" x14ac:dyDescent="0.25">
      <c r="A13" s="102">
        <v>2021</v>
      </c>
      <c r="B13" s="227">
        <v>44012</v>
      </c>
      <c r="C13" s="228">
        <v>0</v>
      </c>
      <c r="D13" s="228">
        <v>0</v>
      </c>
      <c r="E13" s="228">
        <v>0</v>
      </c>
      <c r="F13" s="228">
        <v>0</v>
      </c>
      <c r="G13" s="228">
        <v>0</v>
      </c>
      <c r="H13" s="228">
        <v>0</v>
      </c>
      <c r="I13" s="221">
        <f t="shared" si="0"/>
        <v>0</v>
      </c>
      <c r="J13" s="221">
        <v>0</v>
      </c>
      <c r="K13" s="124"/>
      <c r="L13" s="200"/>
      <c r="M13" s="226"/>
      <c r="N13" s="226"/>
      <c r="O13" s="51"/>
      <c r="P13" s="51"/>
      <c r="Q13" s="51"/>
    </row>
    <row r="14" spans="1:17" s="223" customFormat="1" ht="18" x14ac:dyDescent="0.25">
      <c r="A14" s="102">
        <v>2021</v>
      </c>
      <c r="B14" s="229">
        <v>44196</v>
      </c>
      <c r="C14" s="228">
        <v>0</v>
      </c>
      <c r="D14" s="228">
        <v>0</v>
      </c>
      <c r="E14" s="228">
        <v>0</v>
      </c>
      <c r="F14" s="228">
        <v>0</v>
      </c>
      <c r="G14" s="228">
        <v>0</v>
      </c>
      <c r="H14" s="228">
        <v>0</v>
      </c>
      <c r="I14" s="230">
        <f t="shared" si="0"/>
        <v>0</v>
      </c>
      <c r="J14" s="221">
        <v>0</v>
      </c>
      <c r="K14" s="124"/>
      <c r="L14" s="200"/>
      <c r="N14" s="226"/>
      <c r="O14" s="51"/>
      <c r="P14" s="51"/>
      <c r="Q14" s="51"/>
    </row>
    <row r="15" spans="1:17" s="223" customFormat="1" ht="18" x14ac:dyDescent="0.25">
      <c r="A15" s="103">
        <v>2022</v>
      </c>
      <c r="B15" s="231">
        <v>44012</v>
      </c>
      <c r="C15" s="228">
        <v>0</v>
      </c>
      <c r="D15" s="228">
        <v>0</v>
      </c>
      <c r="E15" s="228">
        <v>0</v>
      </c>
      <c r="F15" s="228">
        <v>0</v>
      </c>
      <c r="G15" s="228">
        <v>0</v>
      </c>
      <c r="H15" s="228">
        <v>0</v>
      </c>
      <c r="I15" s="221">
        <f t="shared" si="0"/>
        <v>0</v>
      </c>
      <c r="J15" s="221">
        <v>0</v>
      </c>
      <c r="K15" s="124"/>
      <c r="L15" s="200"/>
      <c r="M15" s="232"/>
      <c r="N15" s="226"/>
      <c r="O15" s="51"/>
      <c r="P15" s="51"/>
      <c r="Q15" s="51"/>
    </row>
    <row r="16" spans="1:17" s="223" customFormat="1" ht="18" x14ac:dyDescent="0.25">
      <c r="A16" s="100">
        <v>2022</v>
      </c>
      <c r="B16" s="86">
        <v>44196</v>
      </c>
      <c r="C16" s="87">
        <v>150.88922999999997</v>
      </c>
      <c r="D16" s="87">
        <v>0</v>
      </c>
      <c r="E16" s="87">
        <v>379.41432000000003</v>
      </c>
      <c r="F16" s="87">
        <v>0</v>
      </c>
      <c r="G16" s="87">
        <v>0</v>
      </c>
      <c r="H16" s="87">
        <v>152.86833999999999</v>
      </c>
      <c r="I16" s="88">
        <f t="shared" si="0"/>
        <v>683.17188999999996</v>
      </c>
      <c r="J16" s="88">
        <v>0</v>
      </c>
      <c r="K16" s="124"/>
      <c r="L16" s="118"/>
      <c r="N16" s="277"/>
      <c r="O16" s="51"/>
      <c r="P16" s="51"/>
      <c r="Q16" s="51"/>
    </row>
    <row r="17" spans="1:18" s="223" customFormat="1" ht="18" x14ac:dyDescent="0.25">
      <c r="A17" s="103">
        <v>2023</v>
      </c>
      <c r="B17" s="92">
        <v>44012</v>
      </c>
      <c r="C17" s="87">
        <v>59.037009999999974</v>
      </c>
      <c r="D17" s="87">
        <v>0</v>
      </c>
      <c r="E17" s="87">
        <v>105.18545999999996</v>
      </c>
      <c r="F17" s="87">
        <v>0</v>
      </c>
      <c r="G17" s="87">
        <v>0</v>
      </c>
      <c r="H17" s="87">
        <v>8.5117200000000075</v>
      </c>
      <c r="I17" s="88">
        <f t="shared" si="0"/>
        <v>172.73418999999993</v>
      </c>
      <c r="J17" s="88">
        <v>0</v>
      </c>
      <c r="K17" s="124"/>
      <c r="L17" s="200"/>
      <c r="N17" s="226"/>
      <c r="O17" s="51"/>
      <c r="P17" s="51"/>
      <c r="Q17" s="51"/>
    </row>
    <row r="18" spans="1:18" s="223" customFormat="1" ht="18" x14ac:dyDescent="0.25">
      <c r="A18" s="100">
        <v>2023</v>
      </c>
      <c r="B18" s="227">
        <v>44196</v>
      </c>
      <c r="C18" s="87">
        <v>24.155119999999989</v>
      </c>
      <c r="D18" s="87">
        <v>0</v>
      </c>
      <c r="E18" s="87">
        <v>101.50068000000006</v>
      </c>
      <c r="F18" s="87">
        <v>0</v>
      </c>
      <c r="G18" s="87">
        <v>0</v>
      </c>
      <c r="H18" s="87">
        <v>5.6282300000000003</v>
      </c>
      <c r="I18" s="88">
        <f t="shared" si="0"/>
        <v>131.28403000000006</v>
      </c>
      <c r="J18" s="221">
        <v>0</v>
      </c>
      <c r="K18" s="124"/>
      <c r="L18" s="200"/>
      <c r="N18" s="226"/>
      <c r="O18" s="51"/>
      <c r="P18" s="51"/>
      <c r="Q18" s="51"/>
    </row>
    <row r="19" spans="1:18" s="223" customFormat="1" ht="18" x14ac:dyDescent="0.25">
      <c r="A19" s="102">
        <v>2024</v>
      </c>
      <c r="B19" s="227">
        <v>44012</v>
      </c>
      <c r="C19" s="87">
        <v>64.697399999999945</v>
      </c>
      <c r="D19" s="87">
        <v>0</v>
      </c>
      <c r="E19" s="87">
        <v>257.02981000000011</v>
      </c>
      <c r="F19" s="87">
        <v>0</v>
      </c>
      <c r="G19" s="87">
        <v>0</v>
      </c>
      <c r="H19" s="87">
        <v>7.0810400000000007</v>
      </c>
      <c r="I19" s="88">
        <f t="shared" si="0"/>
        <v>328.80825000000004</v>
      </c>
      <c r="J19" s="221">
        <v>0</v>
      </c>
      <c r="K19" s="124"/>
      <c r="L19" s="200"/>
      <c r="N19" s="226"/>
      <c r="O19" s="51"/>
      <c r="P19" s="51"/>
      <c r="Q19" s="51"/>
    </row>
    <row r="20" spans="1:18" s="223" customFormat="1" ht="18" x14ac:dyDescent="0.25">
      <c r="A20" s="102">
        <v>2024</v>
      </c>
      <c r="B20" s="227">
        <v>44196</v>
      </c>
      <c r="C20" s="87">
        <v>1840.1872500000009</v>
      </c>
      <c r="D20" s="87">
        <v>0</v>
      </c>
      <c r="E20" s="87">
        <v>3089.0296799999992</v>
      </c>
      <c r="F20" s="87">
        <v>0</v>
      </c>
      <c r="G20" s="87">
        <v>0</v>
      </c>
      <c r="H20" s="87">
        <v>7.3774200000000008</v>
      </c>
      <c r="I20" s="88">
        <f t="shared" si="0"/>
        <v>4936.5943500000003</v>
      </c>
      <c r="J20" s="221">
        <v>0</v>
      </c>
      <c r="K20" s="124"/>
      <c r="L20" s="118" t="s">
        <v>27</v>
      </c>
      <c r="N20" s="226"/>
      <c r="O20" s="51"/>
      <c r="P20" s="51"/>
      <c r="Q20" s="51"/>
    </row>
    <row r="21" spans="1:18" s="223" customFormat="1" ht="18" x14ac:dyDescent="0.25">
      <c r="A21" s="102">
        <v>2025</v>
      </c>
      <c r="B21" s="231">
        <v>44012</v>
      </c>
      <c r="C21" s="87">
        <v>859.8837299999999</v>
      </c>
      <c r="D21" s="87">
        <v>0</v>
      </c>
      <c r="E21" s="87">
        <v>1453.4513000000013</v>
      </c>
      <c r="F21" s="87">
        <v>5.0294799999999995</v>
      </c>
      <c r="G21" s="87">
        <v>0</v>
      </c>
      <c r="H21" s="87">
        <v>10.39789</v>
      </c>
      <c r="I21" s="88">
        <f t="shared" si="0"/>
        <v>2328.7624000000014</v>
      </c>
      <c r="J21" s="221">
        <v>0</v>
      </c>
      <c r="K21" s="124"/>
      <c r="L21" s="200"/>
      <c r="M21" s="233"/>
      <c r="N21" s="226"/>
      <c r="O21" s="51"/>
      <c r="P21" s="51"/>
      <c r="Q21" s="51"/>
    </row>
    <row r="22" spans="1:18" s="223" customFormat="1" ht="18" x14ac:dyDescent="0.25">
      <c r="A22" s="102">
        <v>2025</v>
      </c>
      <c r="B22" s="227">
        <v>44196</v>
      </c>
      <c r="C22" s="87"/>
      <c r="D22" s="87"/>
      <c r="E22" s="87"/>
      <c r="F22" s="87"/>
      <c r="G22" s="87"/>
      <c r="H22" s="87"/>
      <c r="I22" s="88">
        <f t="shared" si="0"/>
        <v>0</v>
      </c>
      <c r="J22" s="221">
        <v>0</v>
      </c>
      <c r="K22" s="124"/>
      <c r="L22" s="200"/>
      <c r="M22" s="233"/>
      <c r="N22" s="226"/>
      <c r="O22" s="51"/>
      <c r="P22" s="51"/>
      <c r="Q22" s="51"/>
    </row>
    <row r="23" spans="1:18" s="223" customFormat="1" ht="18" x14ac:dyDescent="0.25">
      <c r="A23" s="102">
        <f>A21+1</f>
        <v>2026</v>
      </c>
      <c r="B23" s="227">
        <v>44012</v>
      </c>
      <c r="C23" s="87"/>
      <c r="D23" s="87"/>
      <c r="E23" s="87"/>
      <c r="F23" s="87"/>
      <c r="G23" s="87"/>
      <c r="H23" s="87"/>
      <c r="I23" s="221">
        <f t="shared" ref="I23:I24" si="1">SUM(C23:H23)</f>
        <v>0</v>
      </c>
      <c r="J23" s="221">
        <v>0</v>
      </c>
      <c r="K23" s="124"/>
      <c r="L23" s="234"/>
      <c r="M23" s="233"/>
      <c r="N23" s="226"/>
      <c r="O23" s="51"/>
      <c r="P23" s="51"/>
      <c r="Q23" s="51"/>
    </row>
    <row r="24" spans="1:18" s="223" customFormat="1" ht="18" x14ac:dyDescent="0.25">
      <c r="A24" s="102">
        <f>A22+1</f>
        <v>2026</v>
      </c>
      <c r="B24" s="227">
        <v>44196</v>
      </c>
      <c r="C24" s="87"/>
      <c r="D24" s="87"/>
      <c r="E24" s="87"/>
      <c r="F24" s="87"/>
      <c r="G24" s="87"/>
      <c r="H24" s="87"/>
      <c r="I24" s="221">
        <f t="shared" si="1"/>
        <v>0</v>
      </c>
      <c r="J24" s="221">
        <v>0</v>
      </c>
      <c r="K24" s="124"/>
      <c r="L24" s="234"/>
      <c r="M24" s="233"/>
      <c r="N24" s="226"/>
      <c r="O24" s="51"/>
      <c r="P24" s="51"/>
      <c r="Q24" s="51"/>
    </row>
    <row r="25" spans="1:18" s="223" customFormat="1" ht="18" x14ac:dyDescent="0.25">
      <c r="A25" s="102">
        <f>A23+1</f>
        <v>2027</v>
      </c>
      <c r="B25" s="231">
        <v>44012</v>
      </c>
      <c r="C25" s="93"/>
      <c r="D25" s="93"/>
      <c r="E25" s="93"/>
      <c r="F25" s="93"/>
      <c r="G25" s="93"/>
      <c r="H25" s="93"/>
      <c r="I25" s="94"/>
      <c r="J25" s="94"/>
      <c r="K25" s="124"/>
      <c r="L25" s="234"/>
      <c r="M25" s="233"/>
      <c r="N25" s="226"/>
      <c r="O25" s="51"/>
      <c r="P25" s="51"/>
      <c r="Q25" s="51"/>
    </row>
    <row r="26" spans="1:18" s="223" customFormat="1" ht="18.75" thickBot="1" x14ac:dyDescent="0.3">
      <c r="A26" s="104">
        <f>A24+1</f>
        <v>2027</v>
      </c>
      <c r="B26" s="235">
        <v>44196</v>
      </c>
      <c r="C26" s="96"/>
      <c r="D26" s="96"/>
      <c r="E26" s="96"/>
      <c r="F26" s="96"/>
      <c r="G26" s="96"/>
      <c r="H26" s="96"/>
      <c r="I26" s="94"/>
      <c r="J26" s="94"/>
      <c r="K26" s="125"/>
      <c r="L26" s="236"/>
      <c r="M26" s="233"/>
      <c r="N26" s="226"/>
      <c r="O26" s="51"/>
      <c r="P26" s="51"/>
      <c r="Q26" s="51"/>
    </row>
    <row r="27" spans="1:18" s="223" customFormat="1" ht="18" customHeight="1" thickBot="1" x14ac:dyDescent="0.3">
      <c r="A27" s="351" t="s">
        <v>24</v>
      </c>
      <c r="B27" s="352"/>
      <c r="C27" s="237">
        <f t="shared" ref="C27:J27" si="2">SUM(C11:C26)</f>
        <v>2998.8497400000006</v>
      </c>
      <c r="D27" s="237">
        <f t="shared" si="2"/>
        <v>0</v>
      </c>
      <c r="E27" s="237">
        <f t="shared" si="2"/>
        <v>5385.6112500000008</v>
      </c>
      <c r="F27" s="237">
        <f t="shared" si="2"/>
        <v>5.0294799999999995</v>
      </c>
      <c r="G27" s="237">
        <f t="shared" si="2"/>
        <v>0</v>
      </c>
      <c r="H27" s="237">
        <f t="shared" si="2"/>
        <v>191.86463999999998</v>
      </c>
      <c r="I27" s="237">
        <f t="shared" si="2"/>
        <v>8581.3551100000022</v>
      </c>
      <c r="J27" s="237">
        <f t="shared" si="2"/>
        <v>0</v>
      </c>
      <c r="K27" s="237"/>
      <c r="L27" s="237"/>
      <c r="N27" s="226"/>
      <c r="O27" s="226"/>
      <c r="P27" s="51"/>
      <c r="Q27" s="51"/>
      <c r="R27" s="51"/>
    </row>
    <row r="28" spans="1:18" s="223" customFormat="1" ht="18" customHeight="1" x14ac:dyDescent="0.2">
      <c r="A28" s="8"/>
      <c r="B28" s="238"/>
      <c r="C28" s="239"/>
      <c r="D28" s="239"/>
      <c r="E28" s="239"/>
      <c r="F28" s="240"/>
      <c r="G28" s="240"/>
      <c r="H28" s="239"/>
      <c r="I28" s="241"/>
      <c r="J28" s="239"/>
      <c r="K28" s="239"/>
    </row>
    <row r="29" spans="1:18" s="223" customFormat="1" x14ac:dyDescent="0.2">
      <c r="A29" s="8" t="s">
        <v>25</v>
      </c>
      <c r="H29" s="242"/>
      <c r="I29" s="243"/>
      <c r="L29" s="232"/>
    </row>
    <row r="30" spans="1:18" s="223" customFormat="1" ht="15.75" customHeight="1" thickBot="1" x14ac:dyDescent="0.3">
      <c r="A30" s="387"/>
      <c r="B30" s="388"/>
      <c r="C30" s="388"/>
      <c r="D30" s="388"/>
      <c r="E30" s="388"/>
      <c r="F30" s="388"/>
      <c r="G30" s="388"/>
      <c r="H30" s="388"/>
      <c r="I30" s="388"/>
      <c r="J30" s="388"/>
      <c r="K30" s="388"/>
    </row>
    <row r="31" spans="1:18" ht="18" customHeight="1" thickBot="1" x14ac:dyDescent="0.3">
      <c r="A31" s="339" t="s">
        <v>26</v>
      </c>
      <c r="B31" s="340"/>
      <c r="C31" s="340"/>
      <c r="D31" s="340"/>
      <c r="E31" s="340"/>
      <c r="F31" s="340"/>
      <c r="G31" s="340"/>
      <c r="H31" s="340"/>
      <c r="I31" s="340"/>
      <c r="J31" s="340"/>
      <c r="K31" s="341"/>
      <c r="L31" s="244"/>
    </row>
    <row r="32" spans="1:18" ht="18.75" thickBot="1" x14ac:dyDescent="0.25">
      <c r="A32" s="61" t="s">
        <v>27</v>
      </c>
      <c r="B32" s="342" t="s">
        <v>68</v>
      </c>
      <c r="C32" s="343"/>
      <c r="D32" s="343"/>
      <c r="E32" s="343"/>
      <c r="F32" s="343"/>
      <c r="G32" s="343"/>
      <c r="H32" s="343"/>
      <c r="I32" s="343"/>
      <c r="J32" s="343"/>
      <c r="K32" s="344"/>
      <c r="L32" s="244"/>
    </row>
    <row r="33" spans="1:12" ht="18.75" thickBot="1" x14ac:dyDescent="0.25">
      <c r="A33" s="61" t="s">
        <v>28</v>
      </c>
      <c r="B33" s="348"/>
      <c r="C33" s="349"/>
      <c r="D33" s="349"/>
      <c r="E33" s="349"/>
      <c r="F33" s="349"/>
      <c r="G33" s="349"/>
      <c r="H33" s="349"/>
      <c r="I33" s="349"/>
      <c r="J33" s="349"/>
      <c r="K33" s="350"/>
      <c r="L33" s="244"/>
    </row>
    <row r="34" spans="1:12" ht="18.75" thickBot="1" x14ac:dyDescent="0.25">
      <c r="A34" s="61" t="s">
        <v>29</v>
      </c>
      <c r="B34" s="345"/>
      <c r="C34" s="346"/>
      <c r="D34" s="346"/>
      <c r="E34" s="346"/>
      <c r="F34" s="346"/>
      <c r="G34" s="346"/>
      <c r="H34" s="346"/>
      <c r="I34" s="346"/>
      <c r="J34" s="346"/>
      <c r="K34" s="347"/>
      <c r="L34" s="244"/>
    </row>
    <row r="35" spans="1:12" x14ac:dyDescent="0.2">
      <c r="L35" s="244"/>
    </row>
    <row r="36" spans="1:12" x14ac:dyDescent="0.2">
      <c r="A36" s="222" t="s">
        <v>51</v>
      </c>
      <c r="L36" s="244"/>
    </row>
    <row r="37" spans="1:12" x14ac:dyDescent="0.2">
      <c r="A37" s="1" t="s">
        <v>73</v>
      </c>
      <c r="H37" s="245"/>
      <c r="L37" s="244"/>
    </row>
    <row r="38" spans="1:12" x14ac:dyDescent="0.2">
      <c r="A38" s="222" t="s">
        <v>74</v>
      </c>
      <c r="L38" s="244"/>
    </row>
    <row r="39" spans="1:12" x14ac:dyDescent="0.2">
      <c r="L39" s="244"/>
    </row>
    <row r="40" spans="1:12" x14ac:dyDescent="0.2">
      <c r="D40" s="246"/>
      <c r="L40" s="244"/>
    </row>
    <row r="41" spans="1:12" x14ac:dyDescent="0.2">
      <c r="D41" s="246"/>
      <c r="L41" s="244"/>
    </row>
    <row r="42" spans="1:12" x14ac:dyDescent="0.2">
      <c r="L42" s="244"/>
    </row>
    <row r="43" spans="1:12" x14ac:dyDescent="0.2">
      <c r="L43" s="244"/>
    </row>
    <row r="44" spans="1:12" x14ac:dyDescent="0.2">
      <c r="L44" s="244"/>
    </row>
    <row r="45" spans="1:12" x14ac:dyDescent="0.2">
      <c r="L45" s="244"/>
    </row>
    <row r="46" spans="1:12" x14ac:dyDescent="0.2">
      <c r="L46" s="244"/>
    </row>
    <row r="47" spans="1:12" x14ac:dyDescent="0.2">
      <c r="L47" s="244"/>
    </row>
    <row r="48" spans="1:12" x14ac:dyDescent="0.2">
      <c r="L48" s="244"/>
    </row>
    <row r="49" spans="12:18" x14ac:dyDescent="0.2">
      <c r="L49" s="244"/>
    </row>
    <row r="50" spans="12:18" x14ac:dyDescent="0.2">
      <c r="L50" s="244"/>
    </row>
    <row r="51" spans="12:18" x14ac:dyDescent="0.2">
      <c r="L51" s="244"/>
    </row>
    <row r="52" spans="12:18" x14ac:dyDescent="0.2">
      <c r="L52" s="244"/>
    </row>
    <row r="53" spans="12:18" x14ac:dyDescent="0.2">
      <c r="L53" s="244"/>
    </row>
    <row r="54" spans="12:18" x14ac:dyDescent="0.2">
      <c r="L54" s="244"/>
    </row>
    <row r="55" spans="12:18" x14ac:dyDescent="0.2">
      <c r="L55" s="244"/>
    </row>
    <row r="56" spans="12:18" x14ac:dyDescent="0.2">
      <c r="L56" s="244"/>
    </row>
    <row r="57" spans="12:18" x14ac:dyDescent="0.2">
      <c r="L57" s="244"/>
    </row>
    <row r="58" spans="12:18" x14ac:dyDescent="0.2">
      <c r="L58" s="244"/>
    </row>
    <row r="59" spans="12:18" x14ac:dyDescent="0.2">
      <c r="L59" s="244"/>
    </row>
    <row r="60" spans="12:18" x14ac:dyDescent="0.2">
      <c r="L60" s="244"/>
    </row>
    <row r="61" spans="12:18" ht="15.75" x14ac:dyDescent="0.25">
      <c r="L61" s="244"/>
      <c r="R61" s="57"/>
    </row>
  </sheetData>
  <mergeCells count="19">
    <mergeCell ref="B32:K32"/>
    <mergeCell ref="B33:K33"/>
    <mergeCell ref="B34:K34"/>
    <mergeCell ref="J7:J9"/>
    <mergeCell ref="K7:K9"/>
    <mergeCell ref="L7:L9"/>
    <mergeCell ref="A27:B27"/>
    <mergeCell ref="A30:K30"/>
    <mergeCell ref="A31:K31"/>
    <mergeCell ref="A1:K1"/>
    <mergeCell ref="A2:K2"/>
    <mergeCell ref="A3:K3"/>
    <mergeCell ref="A4:K4"/>
    <mergeCell ref="A6:H6"/>
    <mergeCell ref="A7:A9"/>
    <mergeCell ref="B7:B9"/>
    <mergeCell ref="C7:E9"/>
    <mergeCell ref="F7:H9"/>
    <mergeCell ref="I7:I9"/>
  </mergeCells>
  <printOptions horizontalCentered="1"/>
  <pageMargins left="0.67" right="0.65" top="0.78" bottom="0.75" header="0.52" footer="0.3"/>
  <pageSetup scale="31" fitToHeight="2" orientation="landscape" r:id="rId1"/>
  <headerFooter alignWithMargins="0">
    <oddHeader>&amp;R&amp;F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77937-DBD2-4372-B399-76FDE2621E30}">
  <dimension ref="A1:Z61"/>
  <sheetViews>
    <sheetView view="pageLayout" zoomScaleNormal="80" workbookViewId="0">
      <selection sqref="A1:K1"/>
    </sheetView>
  </sheetViews>
  <sheetFormatPr defaultColWidth="9.42578125" defaultRowHeight="12.75" x14ac:dyDescent="0.2"/>
  <cols>
    <col min="1" max="1" width="18.42578125" style="222" bestFit="1" customWidth="1"/>
    <col min="2" max="2" width="23.42578125" style="222" customWidth="1"/>
    <col min="3" max="7" width="15.5703125" style="222" customWidth="1"/>
    <col min="8" max="8" width="19.28515625" style="222" customWidth="1"/>
    <col min="9" max="11" width="20.42578125" style="222" customWidth="1"/>
    <col min="12" max="12" width="13.42578125" style="222" customWidth="1"/>
    <col min="13" max="13" width="14.42578125" style="222" bestFit="1" customWidth="1"/>
    <col min="14" max="14" width="12.5703125" style="222" bestFit="1" customWidth="1"/>
    <col min="15" max="15" width="11.5703125" style="222" bestFit="1" customWidth="1"/>
    <col min="16" max="16" width="10.42578125" style="222" bestFit="1" customWidth="1"/>
    <col min="17" max="17" width="11.5703125" style="222" bestFit="1" customWidth="1"/>
    <col min="18" max="22" width="9.42578125" style="222" bestFit="1" customWidth="1"/>
    <col min="23" max="23" width="17.5703125" style="222" bestFit="1" customWidth="1"/>
    <col min="24" max="24" width="19.42578125" style="222" bestFit="1" customWidth="1"/>
    <col min="25" max="26" width="15.42578125" style="222" bestFit="1" customWidth="1"/>
    <col min="27" max="16384" width="9.42578125" style="222"/>
  </cols>
  <sheetData>
    <row r="1" spans="1:17" ht="18" x14ac:dyDescent="0.25">
      <c r="A1" s="361" t="s">
        <v>444</v>
      </c>
      <c r="B1" s="361"/>
      <c r="C1" s="361"/>
      <c r="D1" s="361"/>
      <c r="E1" s="361"/>
      <c r="F1" s="361"/>
      <c r="G1" s="361"/>
      <c r="H1" s="361"/>
      <c r="I1" s="361"/>
      <c r="J1" s="361"/>
      <c r="K1" s="361"/>
    </row>
    <row r="2" spans="1:17" ht="18" x14ac:dyDescent="0.25">
      <c r="A2" s="361" t="s">
        <v>0</v>
      </c>
      <c r="B2" s="361"/>
      <c r="C2" s="361"/>
      <c r="D2" s="361"/>
      <c r="E2" s="361"/>
      <c r="F2" s="361"/>
      <c r="G2" s="361"/>
      <c r="H2" s="361"/>
      <c r="I2" s="361"/>
      <c r="J2" s="361"/>
      <c r="K2" s="361"/>
    </row>
    <row r="3" spans="1:17" ht="18" x14ac:dyDescent="0.25">
      <c r="A3" s="363" t="s">
        <v>1</v>
      </c>
      <c r="B3" s="361"/>
      <c r="C3" s="361"/>
      <c r="D3" s="361"/>
      <c r="E3" s="361"/>
      <c r="F3" s="361"/>
      <c r="G3" s="361"/>
      <c r="H3" s="361"/>
      <c r="I3" s="361"/>
      <c r="J3" s="361"/>
      <c r="K3" s="361"/>
      <c r="L3" s="99"/>
    </row>
    <row r="4" spans="1:17" ht="19.5" customHeight="1" x14ac:dyDescent="0.25">
      <c r="A4" s="361" t="s">
        <v>75</v>
      </c>
      <c r="B4" s="361"/>
      <c r="C4" s="361"/>
      <c r="D4" s="361"/>
      <c r="E4" s="361"/>
      <c r="F4" s="361"/>
      <c r="G4" s="361"/>
      <c r="H4" s="361"/>
      <c r="I4" s="361"/>
      <c r="J4" s="361"/>
      <c r="K4" s="361"/>
    </row>
    <row r="5" spans="1:17" ht="13.5" thickBot="1" x14ac:dyDescent="0.25">
      <c r="A5" s="65"/>
      <c r="B5" s="65"/>
      <c r="C5" s="65"/>
      <c r="D5" s="65"/>
      <c r="E5" s="65"/>
      <c r="F5" s="65"/>
      <c r="G5" s="65"/>
      <c r="H5" s="65"/>
      <c r="I5" s="224"/>
    </row>
    <row r="6" spans="1:17" ht="16.5" thickBot="1" x14ac:dyDescent="0.3">
      <c r="A6" s="367" t="s">
        <v>33</v>
      </c>
      <c r="B6" s="329"/>
      <c r="C6" s="329"/>
      <c r="D6" s="329"/>
      <c r="E6" s="329"/>
      <c r="F6" s="329"/>
      <c r="G6" s="329"/>
      <c r="H6" s="330"/>
      <c r="I6" s="224"/>
    </row>
    <row r="7" spans="1:17" s="223" customFormat="1" ht="12.75" customHeight="1" x14ac:dyDescent="0.2">
      <c r="A7" s="353" t="s">
        <v>6</v>
      </c>
      <c r="B7" s="356" t="s">
        <v>7</v>
      </c>
      <c r="C7" s="335" t="s">
        <v>34</v>
      </c>
      <c r="D7" s="370"/>
      <c r="E7" s="370"/>
      <c r="F7" s="335" t="s">
        <v>35</v>
      </c>
      <c r="G7" s="370"/>
      <c r="H7" s="371"/>
      <c r="I7" s="334" t="s">
        <v>38</v>
      </c>
      <c r="J7" s="331" t="s">
        <v>39</v>
      </c>
      <c r="K7" s="331" t="s">
        <v>40</v>
      </c>
      <c r="L7" s="331" t="s">
        <v>41</v>
      </c>
    </row>
    <row r="8" spans="1:17" s="223" customFormat="1" ht="12.6" customHeight="1" x14ac:dyDescent="0.2">
      <c r="A8" s="354"/>
      <c r="B8" s="357"/>
      <c r="C8" s="336"/>
      <c r="D8" s="372"/>
      <c r="E8" s="372"/>
      <c r="F8" s="336"/>
      <c r="G8" s="372"/>
      <c r="H8" s="373"/>
      <c r="I8" s="332"/>
      <c r="J8" s="332"/>
      <c r="K8" s="332"/>
      <c r="L8" s="332"/>
    </row>
    <row r="9" spans="1:17" s="223" customFormat="1" ht="28.5" customHeight="1" thickBot="1" x14ac:dyDescent="0.25">
      <c r="A9" s="355"/>
      <c r="B9" s="358"/>
      <c r="C9" s="337"/>
      <c r="D9" s="374"/>
      <c r="E9" s="374"/>
      <c r="F9" s="337"/>
      <c r="G9" s="374"/>
      <c r="H9" s="375"/>
      <c r="I9" s="333"/>
      <c r="J9" s="333"/>
      <c r="K9" s="333"/>
      <c r="L9" s="333"/>
    </row>
    <row r="10" spans="1:17" s="223" customFormat="1" ht="28.5" customHeight="1" thickBot="1" x14ac:dyDescent="0.25">
      <c r="A10" s="160"/>
      <c r="B10" s="161"/>
      <c r="C10" s="162" t="s">
        <v>42</v>
      </c>
      <c r="D10" s="162" t="s">
        <v>43</v>
      </c>
      <c r="E10" s="162" t="s">
        <v>44</v>
      </c>
      <c r="F10" s="162" t="s">
        <v>42</v>
      </c>
      <c r="G10" s="162" t="s">
        <v>43</v>
      </c>
      <c r="H10" s="162" t="s">
        <v>44</v>
      </c>
      <c r="I10" s="162"/>
      <c r="J10" s="162"/>
      <c r="K10" s="162"/>
      <c r="L10" s="122"/>
    </row>
    <row r="11" spans="1:17" ht="18" x14ac:dyDescent="0.25">
      <c r="A11" s="101">
        <v>2020</v>
      </c>
      <c r="B11" s="225">
        <v>44012</v>
      </c>
      <c r="C11" s="228">
        <v>0</v>
      </c>
      <c r="D11" s="228">
        <v>0</v>
      </c>
      <c r="E11" s="228">
        <v>0</v>
      </c>
      <c r="F11" s="228">
        <v>0</v>
      </c>
      <c r="G11" s="228">
        <v>0</v>
      </c>
      <c r="H11" s="228">
        <v>0</v>
      </c>
      <c r="I11" s="221">
        <f t="shared" ref="I11:I26" si="0">SUM(C11:H11)</f>
        <v>0</v>
      </c>
      <c r="J11" s="88">
        <v>0</v>
      </c>
      <c r="K11" s="118">
        <v>0</v>
      </c>
      <c r="L11" s="200"/>
      <c r="N11" s="226"/>
      <c r="O11" s="51"/>
      <c r="P11" s="51"/>
      <c r="Q11" s="51"/>
    </row>
    <row r="12" spans="1:17" s="223" customFormat="1" ht="18" x14ac:dyDescent="0.25">
      <c r="A12" s="100">
        <v>2020</v>
      </c>
      <c r="B12" s="227">
        <v>44196</v>
      </c>
      <c r="C12" s="228">
        <v>0</v>
      </c>
      <c r="D12" s="228">
        <v>0</v>
      </c>
      <c r="E12" s="228">
        <v>0</v>
      </c>
      <c r="F12" s="228">
        <v>0</v>
      </c>
      <c r="G12" s="228">
        <v>0</v>
      </c>
      <c r="H12" s="228">
        <v>0</v>
      </c>
      <c r="I12" s="221">
        <f t="shared" si="0"/>
        <v>0</v>
      </c>
      <c r="J12" s="88">
        <v>0</v>
      </c>
      <c r="K12" s="118">
        <v>0</v>
      </c>
      <c r="L12" s="200"/>
      <c r="N12" s="226"/>
      <c r="O12" s="51"/>
      <c r="P12" s="51"/>
      <c r="Q12" s="51"/>
    </row>
    <row r="13" spans="1:17" s="223" customFormat="1" ht="18" x14ac:dyDescent="0.25">
      <c r="A13" s="102">
        <v>2021</v>
      </c>
      <c r="B13" s="227">
        <v>44012</v>
      </c>
      <c r="C13" s="228">
        <v>0</v>
      </c>
      <c r="D13" s="228">
        <v>0</v>
      </c>
      <c r="E13" s="228">
        <v>0</v>
      </c>
      <c r="F13" s="228">
        <v>0</v>
      </c>
      <c r="G13" s="228">
        <v>0</v>
      </c>
      <c r="H13" s="228">
        <v>0</v>
      </c>
      <c r="I13" s="221">
        <f t="shared" si="0"/>
        <v>0</v>
      </c>
      <c r="J13" s="88">
        <v>0</v>
      </c>
      <c r="K13" s="118">
        <v>0</v>
      </c>
      <c r="L13" s="200"/>
      <c r="M13" s="226"/>
      <c r="N13" s="226"/>
      <c r="O13" s="51"/>
      <c r="P13" s="51"/>
      <c r="Q13" s="51"/>
    </row>
    <row r="14" spans="1:17" s="223" customFormat="1" ht="18" x14ac:dyDescent="0.25">
      <c r="A14" s="102">
        <v>2021</v>
      </c>
      <c r="B14" s="229">
        <v>44196</v>
      </c>
      <c r="C14" s="228">
        <v>0</v>
      </c>
      <c r="D14" s="228">
        <v>0</v>
      </c>
      <c r="E14" s="228">
        <v>0</v>
      </c>
      <c r="F14" s="228">
        <v>0</v>
      </c>
      <c r="G14" s="228">
        <v>0</v>
      </c>
      <c r="H14" s="228">
        <v>0</v>
      </c>
      <c r="I14" s="230">
        <f t="shared" si="0"/>
        <v>0</v>
      </c>
      <c r="J14" s="88">
        <v>0</v>
      </c>
      <c r="K14" s="118">
        <v>0</v>
      </c>
      <c r="L14" s="200"/>
      <c r="N14" s="226"/>
      <c r="O14" s="51"/>
      <c r="P14" s="51"/>
      <c r="Q14" s="51"/>
    </row>
    <row r="15" spans="1:17" s="223" customFormat="1" ht="18" x14ac:dyDescent="0.25">
      <c r="A15" s="103">
        <v>2022</v>
      </c>
      <c r="B15" s="231">
        <v>44012</v>
      </c>
      <c r="C15" s="228">
        <v>0</v>
      </c>
      <c r="D15" s="228">
        <v>0</v>
      </c>
      <c r="E15" s="228">
        <v>0</v>
      </c>
      <c r="F15" s="228">
        <v>0</v>
      </c>
      <c r="G15" s="228">
        <v>0</v>
      </c>
      <c r="H15" s="228">
        <v>0</v>
      </c>
      <c r="I15" s="221">
        <f t="shared" si="0"/>
        <v>0</v>
      </c>
      <c r="J15" s="88">
        <v>0</v>
      </c>
      <c r="K15" s="118">
        <v>0</v>
      </c>
      <c r="L15" s="200"/>
      <c r="M15" s="232"/>
      <c r="N15" s="226"/>
      <c r="O15" s="51"/>
      <c r="P15" s="51"/>
      <c r="Q15" s="51"/>
    </row>
    <row r="16" spans="1:17" s="223" customFormat="1" ht="18" x14ac:dyDescent="0.25">
      <c r="A16" s="100">
        <v>2022</v>
      </c>
      <c r="B16" s="86">
        <v>44196</v>
      </c>
      <c r="C16" s="87">
        <v>423.77671000000009</v>
      </c>
      <c r="D16" s="87">
        <v>0</v>
      </c>
      <c r="E16" s="87">
        <v>722.68520000000001</v>
      </c>
      <c r="F16" s="87">
        <v>0</v>
      </c>
      <c r="G16" s="87">
        <v>0</v>
      </c>
      <c r="H16" s="87">
        <v>153.46735000000001</v>
      </c>
      <c r="I16" s="88">
        <f t="shared" si="0"/>
        <v>1299.9292599999999</v>
      </c>
      <c r="J16" s="88">
        <v>1299.9292599999999</v>
      </c>
      <c r="K16" s="118">
        <f t="shared" ref="K16:K17" si="1">(+I16-J16)/J16</f>
        <v>0</v>
      </c>
      <c r="L16" s="118"/>
      <c r="N16" s="277"/>
      <c r="O16" s="51"/>
      <c r="P16" s="51"/>
      <c r="Q16" s="51"/>
    </row>
    <row r="17" spans="1:18" s="223" customFormat="1" ht="18" x14ac:dyDescent="0.25">
      <c r="A17" s="103">
        <v>2023</v>
      </c>
      <c r="B17" s="92">
        <v>44012</v>
      </c>
      <c r="C17" s="87">
        <v>29.49719000000001</v>
      </c>
      <c r="D17" s="87">
        <v>0</v>
      </c>
      <c r="E17" s="87">
        <v>116.69809999999993</v>
      </c>
      <c r="F17" s="87">
        <v>0</v>
      </c>
      <c r="G17" s="87">
        <v>0</v>
      </c>
      <c r="H17" s="87">
        <v>6.0333999999999985</v>
      </c>
      <c r="I17" s="88">
        <f t="shared" si="0"/>
        <v>152.22868999999994</v>
      </c>
      <c r="J17" s="88">
        <v>152.22869</v>
      </c>
      <c r="K17" s="118">
        <f t="shared" si="1"/>
        <v>-3.7340805376968045E-16</v>
      </c>
      <c r="L17" s="118"/>
      <c r="N17" s="226"/>
      <c r="O17" s="51"/>
      <c r="P17" s="51"/>
      <c r="Q17" s="51"/>
    </row>
    <row r="18" spans="1:18" s="223" customFormat="1" ht="18" x14ac:dyDescent="0.25">
      <c r="A18" s="100">
        <v>2023</v>
      </c>
      <c r="B18" s="86">
        <v>44196</v>
      </c>
      <c r="C18" s="87">
        <v>2410.9947599999978</v>
      </c>
      <c r="D18" s="87">
        <v>0</v>
      </c>
      <c r="E18" s="87">
        <v>857.90031000000045</v>
      </c>
      <c r="F18" s="87">
        <v>0</v>
      </c>
      <c r="G18" s="87">
        <v>0</v>
      </c>
      <c r="H18" s="87">
        <v>5.330379999999999</v>
      </c>
      <c r="I18" s="88">
        <f t="shared" si="0"/>
        <v>3274.2254499999981</v>
      </c>
      <c r="J18" s="88">
        <v>3274.2254499999976</v>
      </c>
      <c r="K18" s="118">
        <f>(+I18-J18)/J18</f>
        <v>1.3888700024809362E-16</v>
      </c>
      <c r="L18" s="118"/>
      <c r="N18" s="226"/>
      <c r="O18" s="51"/>
      <c r="P18" s="51"/>
      <c r="Q18" s="51"/>
    </row>
    <row r="19" spans="1:18" s="223" customFormat="1" ht="18" x14ac:dyDescent="0.25">
      <c r="A19" s="102">
        <v>2024</v>
      </c>
      <c r="B19" s="86">
        <v>44012</v>
      </c>
      <c r="C19" s="87">
        <v>317.55025000000086</v>
      </c>
      <c r="D19" s="87">
        <v>37.016240000000003</v>
      </c>
      <c r="E19" s="87">
        <v>734.33763999999962</v>
      </c>
      <c r="F19" s="87">
        <v>0</v>
      </c>
      <c r="G19" s="87">
        <v>0.25330999999999998</v>
      </c>
      <c r="H19" s="87">
        <v>21.995650000000001</v>
      </c>
      <c r="I19" s="88">
        <f t="shared" si="0"/>
        <v>1111.1530900000005</v>
      </c>
      <c r="J19" s="88">
        <v>1111.1530900000002</v>
      </c>
      <c r="K19" s="118">
        <f>(+I19-J19)/J19</f>
        <v>2.0462857682664773E-16</v>
      </c>
      <c r="L19" s="118"/>
      <c r="N19" s="226"/>
      <c r="O19" s="51"/>
      <c r="P19" s="51"/>
      <c r="Q19" s="51"/>
    </row>
    <row r="20" spans="1:18" s="223" customFormat="1" ht="18" x14ac:dyDescent="0.25">
      <c r="A20" s="102">
        <v>2024</v>
      </c>
      <c r="B20" s="86">
        <v>44196</v>
      </c>
      <c r="C20" s="87">
        <v>1569.2262300000029</v>
      </c>
      <c r="D20" s="87">
        <v>12.510419999999998</v>
      </c>
      <c r="E20" s="87">
        <v>4259.3193600000004</v>
      </c>
      <c r="F20" s="87">
        <v>0</v>
      </c>
      <c r="G20" s="87">
        <v>1.1576099999999998</v>
      </c>
      <c r="H20" s="87">
        <v>217.63679999999999</v>
      </c>
      <c r="I20" s="88">
        <f t="shared" si="0"/>
        <v>6059.8504200000043</v>
      </c>
      <c r="J20" s="88">
        <v>6059.8504200000007</v>
      </c>
      <c r="K20" s="118">
        <f>(+I20-J20)/J20</f>
        <v>6.0034135415040702E-16</v>
      </c>
      <c r="L20" s="118" t="s">
        <v>28</v>
      </c>
      <c r="N20" s="226"/>
      <c r="O20" s="51"/>
      <c r="P20" s="51"/>
      <c r="Q20" s="51"/>
    </row>
    <row r="21" spans="1:18" s="223" customFormat="1" ht="18" x14ac:dyDescent="0.25">
      <c r="A21" s="102">
        <v>2025</v>
      </c>
      <c r="B21" s="92">
        <v>44012</v>
      </c>
      <c r="C21" s="87">
        <v>166.55876999999981</v>
      </c>
      <c r="D21" s="87">
        <v>313.29139000000021</v>
      </c>
      <c r="E21" s="87">
        <v>2808.1636400000043</v>
      </c>
      <c r="F21" s="87">
        <v>2741.1009799999993</v>
      </c>
      <c r="G21" s="87">
        <v>900.88115000000005</v>
      </c>
      <c r="H21" s="87">
        <v>849.61325000000033</v>
      </c>
      <c r="I21" s="88">
        <f t="shared" si="0"/>
        <v>7779.609180000004</v>
      </c>
      <c r="J21" s="88">
        <v>9412.0555867575767</v>
      </c>
      <c r="K21" s="118">
        <f>(+I21-J21)/J21</f>
        <v>-0.17344207030123857</v>
      </c>
      <c r="L21" s="118"/>
      <c r="M21" s="233"/>
      <c r="N21" s="226"/>
      <c r="O21" s="51"/>
      <c r="P21" s="51"/>
      <c r="Q21" s="51"/>
    </row>
    <row r="22" spans="1:18" s="223" customFormat="1" ht="18" x14ac:dyDescent="0.25">
      <c r="A22" s="102">
        <v>2025</v>
      </c>
      <c r="B22" s="86">
        <v>44196</v>
      </c>
      <c r="C22" s="87"/>
      <c r="D22" s="87"/>
      <c r="E22" s="87"/>
      <c r="F22" s="87"/>
      <c r="G22" s="87"/>
      <c r="H22" s="87"/>
      <c r="I22" s="88">
        <f t="shared" si="0"/>
        <v>0</v>
      </c>
      <c r="J22" s="88">
        <v>14976.723650627704</v>
      </c>
      <c r="K22" s="193"/>
      <c r="L22" s="118"/>
      <c r="M22" s="233"/>
      <c r="N22" s="226"/>
      <c r="O22" s="51"/>
      <c r="P22" s="51"/>
      <c r="Q22" s="51"/>
    </row>
    <row r="23" spans="1:18" s="223" customFormat="1" ht="18" x14ac:dyDescent="0.25">
      <c r="A23" s="102">
        <f>A21+1</f>
        <v>2026</v>
      </c>
      <c r="B23" s="86">
        <v>44012</v>
      </c>
      <c r="C23" s="87"/>
      <c r="D23" s="87"/>
      <c r="E23" s="87"/>
      <c r="F23" s="87"/>
      <c r="G23" s="87"/>
      <c r="H23" s="87"/>
      <c r="I23" s="88">
        <f t="shared" si="0"/>
        <v>0</v>
      </c>
      <c r="J23" s="88">
        <v>9549.3487636363661</v>
      </c>
      <c r="K23" s="193"/>
      <c r="L23" s="193"/>
      <c r="M23" s="233"/>
      <c r="N23" s="226"/>
      <c r="O23" s="51"/>
      <c r="P23" s="51"/>
      <c r="Q23" s="51"/>
    </row>
    <row r="24" spans="1:18" s="223" customFormat="1" ht="18" x14ac:dyDescent="0.25">
      <c r="A24" s="102">
        <f>A22+1</f>
        <v>2026</v>
      </c>
      <c r="B24" s="86">
        <v>44196</v>
      </c>
      <c r="C24" s="87"/>
      <c r="D24" s="87"/>
      <c r="E24" s="87"/>
      <c r="F24" s="87"/>
      <c r="G24" s="87"/>
      <c r="H24" s="87"/>
      <c r="I24" s="88">
        <f t="shared" si="0"/>
        <v>0</v>
      </c>
      <c r="J24" s="88">
        <v>15656.986428528138</v>
      </c>
      <c r="K24" s="193"/>
      <c r="L24" s="193"/>
      <c r="M24" s="233"/>
      <c r="N24" s="226"/>
      <c r="O24" s="51"/>
      <c r="P24" s="51"/>
      <c r="Q24" s="51"/>
    </row>
    <row r="25" spans="1:18" s="223" customFormat="1" ht="18" x14ac:dyDescent="0.25">
      <c r="A25" s="102">
        <f>A23+1</f>
        <v>2027</v>
      </c>
      <c r="B25" s="92">
        <v>44012</v>
      </c>
      <c r="C25" s="87"/>
      <c r="D25" s="87"/>
      <c r="E25" s="87"/>
      <c r="F25" s="87"/>
      <c r="G25" s="87"/>
      <c r="H25" s="87"/>
      <c r="I25" s="88">
        <f t="shared" si="0"/>
        <v>0</v>
      </c>
      <c r="J25" s="88">
        <v>2495.0165904502146</v>
      </c>
      <c r="K25" s="193"/>
      <c r="L25" s="193"/>
      <c r="M25" s="233"/>
      <c r="N25" s="226"/>
      <c r="O25" s="51"/>
      <c r="P25" s="51"/>
      <c r="Q25" s="51"/>
    </row>
    <row r="26" spans="1:18" s="223" customFormat="1" ht="18.75" thickBot="1" x14ac:dyDescent="0.3">
      <c r="A26" s="104">
        <f>A24+1</f>
        <v>2027</v>
      </c>
      <c r="B26" s="95">
        <v>44196</v>
      </c>
      <c r="C26" s="97"/>
      <c r="D26" s="97"/>
      <c r="E26" s="97"/>
      <c r="F26" s="97"/>
      <c r="G26" s="97"/>
      <c r="H26" s="97"/>
      <c r="I26" s="88">
        <f t="shared" si="0"/>
        <v>0</v>
      </c>
      <c r="J26" s="88">
        <v>1910.9849000000017</v>
      </c>
      <c r="K26" s="194"/>
      <c r="L26" s="194"/>
      <c r="M26" s="284"/>
      <c r="N26" s="226"/>
      <c r="O26" s="51"/>
      <c r="P26" s="51"/>
      <c r="Q26" s="51"/>
    </row>
    <row r="27" spans="1:18" s="223" customFormat="1" ht="18" customHeight="1" thickBot="1" x14ac:dyDescent="0.3">
      <c r="A27" s="351" t="s">
        <v>24</v>
      </c>
      <c r="B27" s="352"/>
      <c r="C27" s="89">
        <f t="shared" ref="C27:J27" si="2">SUM(C11:C26)</f>
        <v>4917.6039100000016</v>
      </c>
      <c r="D27" s="89">
        <f t="shared" si="2"/>
        <v>362.8180500000002</v>
      </c>
      <c r="E27" s="89">
        <f t="shared" si="2"/>
        <v>9499.104250000004</v>
      </c>
      <c r="F27" s="89">
        <f t="shared" si="2"/>
        <v>2741.1009799999993</v>
      </c>
      <c r="G27" s="89">
        <f t="shared" si="2"/>
        <v>902.29207000000008</v>
      </c>
      <c r="H27" s="89">
        <f t="shared" si="2"/>
        <v>1254.0768300000004</v>
      </c>
      <c r="I27" s="89">
        <f t="shared" si="2"/>
        <v>19676.996090000008</v>
      </c>
      <c r="J27" s="89">
        <f t="shared" si="2"/>
        <v>65898.502829999998</v>
      </c>
      <c r="K27" s="119">
        <f>(J28-J27)/J27</f>
        <v>-6.6246946152510271E-16</v>
      </c>
      <c r="L27" s="89" t="s">
        <v>27</v>
      </c>
      <c r="N27" s="226"/>
      <c r="O27" s="226"/>
      <c r="P27" s="51"/>
      <c r="Q27" s="51"/>
      <c r="R27" s="51"/>
    </row>
    <row r="28" spans="1:18" s="223" customFormat="1" ht="18" customHeight="1" thickBot="1" x14ac:dyDescent="0.25">
      <c r="A28" s="8"/>
      <c r="B28" s="238"/>
      <c r="C28" s="320"/>
      <c r="D28" s="320"/>
      <c r="E28" s="320"/>
      <c r="F28" s="321"/>
      <c r="G28" s="321"/>
      <c r="H28" s="382" t="s">
        <v>46</v>
      </c>
      <c r="I28" s="383"/>
      <c r="J28" s="89">
        <v>65898.502829999954</v>
      </c>
      <c r="K28" s="11"/>
      <c r="L28" s="232"/>
    </row>
    <row r="29" spans="1:18" s="223" customFormat="1" x14ac:dyDescent="0.2">
      <c r="A29" s="8" t="s">
        <v>25</v>
      </c>
      <c r="H29" s="242"/>
      <c r="I29" s="243"/>
      <c r="L29" s="232"/>
    </row>
    <row r="30" spans="1:18" s="223" customFormat="1" ht="15.75" customHeight="1" thickBot="1" x14ac:dyDescent="0.3">
      <c r="A30" s="387"/>
      <c r="B30" s="388"/>
      <c r="C30" s="388"/>
      <c r="D30" s="388"/>
      <c r="E30" s="388"/>
      <c r="F30" s="388"/>
      <c r="G30" s="388"/>
      <c r="H30" s="388"/>
      <c r="I30" s="388"/>
      <c r="J30" s="388"/>
      <c r="K30" s="388"/>
    </row>
    <row r="31" spans="1:18" ht="18" customHeight="1" thickBot="1" x14ac:dyDescent="0.3">
      <c r="A31" s="339" t="s">
        <v>26</v>
      </c>
      <c r="B31" s="340"/>
      <c r="C31" s="340"/>
      <c r="D31" s="340"/>
      <c r="E31" s="340"/>
      <c r="F31" s="340"/>
      <c r="G31" s="340"/>
      <c r="H31" s="340"/>
      <c r="I31" s="340"/>
      <c r="J31" s="340"/>
      <c r="K31" s="341"/>
      <c r="L31" s="244"/>
    </row>
    <row r="32" spans="1:18" ht="18.75" customHeight="1" thickBot="1" x14ac:dyDescent="0.25">
      <c r="A32" s="61" t="s">
        <v>27</v>
      </c>
      <c r="B32" s="348" t="s">
        <v>76</v>
      </c>
      <c r="C32" s="349"/>
      <c r="D32" s="349"/>
      <c r="E32" s="349"/>
      <c r="F32" s="349"/>
      <c r="G32" s="349"/>
      <c r="H32" s="349"/>
      <c r="I32" s="349"/>
      <c r="J32" s="349"/>
      <c r="K32" s="350"/>
      <c r="L32" s="158"/>
      <c r="M32" s="158"/>
      <c r="N32" s="158"/>
    </row>
    <row r="33" spans="1:12" ht="18.75" thickBot="1" x14ac:dyDescent="0.25">
      <c r="A33" s="61" t="s">
        <v>28</v>
      </c>
      <c r="B33" s="348" t="s">
        <v>68</v>
      </c>
      <c r="C33" s="349"/>
      <c r="D33" s="349"/>
      <c r="E33" s="349"/>
      <c r="F33" s="349"/>
      <c r="G33" s="349"/>
      <c r="H33" s="349"/>
      <c r="I33" s="349"/>
      <c r="J33" s="349"/>
      <c r="K33" s="350"/>
      <c r="L33" s="244"/>
    </row>
    <row r="34" spans="1:12" ht="18.75" thickBot="1" x14ac:dyDescent="0.25">
      <c r="A34" s="61" t="s">
        <v>29</v>
      </c>
      <c r="B34" s="345"/>
      <c r="C34" s="346"/>
      <c r="D34" s="346"/>
      <c r="E34" s="346"/>
      <c r="F34" s="346"/>
      <c r="G34" s="346"/>
      <c r="H34" s="346"/>
      <c r="I34" s="346"/>
      <c r="J34" s="346"/>
      <c r="K34" s="347"/>
      <c r="L34" s="244"/>
    </row>
    <row r="35" spans="1:12" x14ac:dyDescent="0.2">
      <c r="L35" s="244"/>
    </row>
    <row r="36" spans="1:12" x14ac:dyDescent="0.2">
      <c r="A36" s="222" t="s">
        <v>51</v>
      </c>
      <c r="L36" s="244"/>
    </row>
    <row r="37" spans="1:12" x14ac:dyDescent="0.2">
      <c r="A37" s="1" t="s">
        <v>77</v>
      </c>
      <c r="H37" s="245"/>
      <c r="L37" s="244"/>
    </row>
    <row r="38" spans="1:12" x14ac:dyDescent="0.2">
      <c r="A38" s="222" t="s">
        <v>78</v>
      </c>
      <c r="L38" s="244"/>
    </row>
    <row r="39" spans="1:12" x14ac:dyDescent="0.2">
      <c r="L39" s="244"/>
    </row>
    <row r="40" spans="1:12" x14ac:dyDescent="0.2">
      <c r="D40" s="246"/>
      <c r="L40" s="244"/>
    </row>
    <row r="41" spans="1:12" x14ac:dyDescent="0.2">
      <c r="D41" s="246"/>
      <c r="L41" s="244"/>
    </row>
    <row r="42" spans="1:12" x14ac:dyDescent="0.2">
      <c r="L42" s="244"/>
    </row>
    <row r="43" spans="1:12" x14ac:dyDescent="0.2">
      <c r="L43" s="244"/>
    </row>
    <row r="44" spans="1:12" x14ac:dyDescent="0.2">
      <c r="L44" s="244"/>
    </row>
    <row r="45" spans="1:12" x14ac:dyDescent="0.2">
      <c r="L45" s="244"/>
    </row>
    <row r="46" spans="1:12" x14ac:dyDescent="0.2">
      <c r="L46" s="244"/>
    </row>
    <row r="47" spans="1:12" x14ac:dyDescent="0.2">
      <c r="L47" s="244"/>
    </row>
    <row r="48" spans="1:12" x14ac:dyDescent="0.2">
      <c r="L48" s="244"/>
    </row>
    <row r="49" spans="12:26" x14ac:dyDescent="0.2">
      <c r="L49" s="244"/>
    </row>
    <row r="50" spans="12:26" x14ac:dyDescent="0.2">
      <c r="L50" s="244"/>
    </row>
    <row r="51" spans="12:26" x14ac:dyDescent="0.2">
      <c r="L51" s="244"/>
    </row>
    <row r="52" spans="12:26" x14ac:dyDescent="0.2">
      <c r="L52" s="244"/>
    </row>
    <row r="53" spans="12:26" x14ac:dyDescent="0.2">
      <c r="L53" s="244"/>
    </row>
    <row r="54" spans="12:26" x14ac:dyDescent="0.2">
      <c r="L54" s="244"/>
    </row>
    <row r="55" spans="12:26" x14ac:dyDescent="0.2">
      <c r="L55" s="244"/>
    </row>
    <row r="56" spans="12:26" x14ac:dyDescent="0.2">
      <c r="L56" s="244"/>
    </row>
    <row r="57" spans="12:26" x14ac:dyDescent="0.2">
      <c r="L57" s="244"/>
    </row>
    <row r="58" spans="12:26" x14ac:dyDescent="0.2">
      <c r="L58" s="244"/>
    </row>
    <row r="59" spans="12:26" x14ac:dyDescent="0.2">
      <c r="L59" s="244"/>
    </row>
    <row r="60" spans="12:26" x14ac:dyDescent="0.2">
      <c r="L60" s="244"/>
    </row>
    <row r="61" spans="12:26" ht="18" x14ac:dyDescent="0.25">
      <c r="L61" s="244"/>
      <c r="Z61" s="181"/>
    </row>
  </sheetData>
  <mergeCells count="20">
    <mergeCell ref="B32:K32"/>
    <mergeCell ref="B33:K33"/>
    <mergeCell ref="B34:K34"/>
    <mergeCell ref="J7:J9"/>
    <mergeCell ref="K7:K9"/>
    <mergeCell ref="H28:I28"/>
    <mergeCell ref="L7:L9"/>
    <mergeCell ref="A27:B27"/>
    <mergeCell ref="A30:K30"/>
    <mergeCell ref="A31:K31"/>
    <mergeCell ref="A1:K1"/>
    <mergeCell ref="A2:K2"/>
    <mergeCell ref="A3:K3"/>
    <mergeCell ref="A4:K4"/>
    <mergeCell ref="A6:H6"/>
    <mergeCell ref="A7:A9"/>
    <mergeCell ref="B7:B9"/>
    <mergeCell ref="C7:E9"/>
    <mergeCell ref="F7:H9"/>
    <mergeCell ref="I7:I9"/>
  </mergeCells>
  <printOptions horizontalCentered="1"/>
  <pageMargins left="0.67" right="0.65" top="0.78" bottom="0.75" header="0.52" footer="0.3"/>
  <pageSetup scale="31" fitToHeight="2" orientation="landscape" r:id="rId1"/>
  <headerFooter alignWithMargins="0">
    <oddHeader>&amp;R&amp;F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P197"/>
  <sheetViews>
    <sheetView view="pageLayout" topLeftCell="A3" zoomScaleNormal="90" workbookViewId="0">
      <selection activeCell="E7" sqref="E7:H19"/>
    </sheetView>
  </sheetViews>
  <sheetFormatPr defaultRowHeight="12.75" x14ac:dyDescent="0.2"/>
  <cols>
    <col min="1" max="1" width="1.5703125" customWidth="1"/>
    <col min="2" max="2" width="50.5703125" customWidth="1"/>
    <col min="3" max="3" width="31.5703125" bestFit="1" customWidth="1"/>
    <col min="4" max="4" width="21.85546875" customWidth="1"/>
    <col min="5" max="5" width="29.5703125" customWidth="1"/>
    <col min="6" max="7" width="23.5703125" customWidth="1"/>
    <col min="8" max="8" width="16.5703125" customWidth="1"/>
    <col min="9" max="9" width="27.140625" style="50" customWidth="1"/>
    <col min="11" max="11" width="12.28515625" bestFit="1" customWidth="1"/>
    <col min="12" max="12" width="14.140625" bestFit="1" customWidth="1"/>
    <col min="13" max="13" width="9.85546875" bestFit="1" customWidth="1"/>
    <col min="14" max="14" width="9.5703125" bestFit="1" customWidth="1"/>
  </cols>
  <sheetData>
    <row r="1" spans="2:15" ht="18" x14ac:dyDescent="0.25">
      <c r="B1" s="400" t="s">
        <v>444</v>
      </c>
      <c r="C1" s="400"/>
      <c r="D1" s="400"/>
      <c r="E1" s="400"/>
      <c r="F1" s="400"/>
      <c r="G1" s="400"/>
      <c r="H1" s="400"/>
      <c r="I1" s="400"/>
    </row>
    <row r="2" spans="2:15" ht="18" x14ac:dyDescent="0.25">
      <c r="B2" s="401" t="s">
        <v>79</v>
      </c>
      <c r="C2" s="401"/>
      <c r="D2" s="401"/>
      <c r="E2" s="401"/>
      <c r="F2" s="401"/>
      <c r="G2" s="401"/>
      <c r="H2" s="401"/>
      <c r="I2" s="401"/>
    </row>
    <row r="3" spans="2:15" ht="18" x14ac:dyDescent="0.25">
      <c r="B3" s="363" t="s">
        <v>1</v>
      </c>
      <c r="C3" s="361"/>
      <c r="D3" s="361"/>
      <c r="E3" s="361"/>
      <c r="F3" s="361"/>
      <c r="G3" s="361"/>
      <c r="H3" s="361"/>
      <c r="I3" s="361"/>
      <c r="J3" s="99"/>
      <c r="K3" s="99"/>
      <c r="L3" s="99"/>
      <c r="M3" s="99"/>
      <c r="N3" s="99"/>
      <c r="O3" s="99"/>
    </row>
    <row r="4" spans="2:15" ht="24" thickBot="1" x14ac:dyDescent="0.4">
      <c r="B4" s="402"/>
      <c r="C4" s="403"/>
      <c r="D4" s="403"/>
      <c r="E4" s="403"/>
      <c r="F4" s="403"/>
      <c r="G4" s="403"/>
      <c r="H4" s="403"/>
      <c r="I4" s="9"/>
    </row>
    <row r="5" spans="2:15" s="2" customFormat="1" ht="75.75" thickBot="1" x14ac:dyDescent="0.25">
      <c r="B5" s="107" t="s">
        <v>79</v>
      </c>
      <c r="C5" s="107" t="s">
        <v>80</v>
      </c>
      <c r="D5" s="107" t="s">
        <v>81</v>
      </c>
      <c r="E5" s="108" t="s">
        <v>82</v>
      </c>
      <c r="F5" s="109" t="s">
        <v>83</v>
      </c>
      <c r="G5" s="121" t="s">
        <v>84</v>
      </c>
      <c r="H5" s="113" t="s">
        <v>85</v>
      </c>
      <c r="I5" s="110" t="s">
        <v>41</v>
      </c>
    </row>
    <row r="6" spans="2:15" ht="18.75" thickBot="1" x14ac:dyDescent="0.3">
      <c r="B6" s="74" t="s">
        <v>86</v>
      </c>
      <c r="C6" s="152"/>
      <c r="D6" s="153"/>
      <c r="E6" s="154"/>
      <c r="F6" s="155"/>
      <c r="G6" s="155"/>
      <c r="H6" s="156"/>
      <c r="I6" s="157"/>
    </row>
    <row r="7" spans="2:15" ht="36" x14ac:dyDescent="0.2">
      <c r="B7" s="213" t="s">
        <v>42</v>
      </c>
      <c r="C7" s="169" t="s">
        <v>87</v>
      </c>
      <c r="D7" s="286" t="s">
        <v>88</v>
      </c>
      <c r="E7" s="326" t="s">
        <v>445</v>
      </c>
      <c r="F7" s="326" t="s">
        <v>445</v>
      </c>
      <c r="G7" s="326" t="s">
        <v>445</v>
      </c>
      <c r="H7" s="326" t="s">
        <v>445</v>
      </c>
      <c r="I7" s="179" t="s">
        <v>89</v>
      </c>
      <c r="J7" s="4"/>
      <c r="K7" s="172"/>
      <c r="L7" s="172"/>
    </row>
    <row r="8" spans="2:15" ht="18" x14ac:dyDescent="0.25">
      <c r="B8" s="27" t="s">
        <v>43</v>
      </c>
      <c r="C8" s="98" t="s">
        <v>87</v>
      </c>
      <c r="D8" s="287" t="s">
        <v>90</v>
      </c>
      <c r="E8" s="326" t="s">
        <v>445</v>
      </c>
      <c r="F8" s="326" t="s">
        <v>445</v>
      </c>
      <c r="G8" s="326" t="s">
        <v>445</v>
      </c>
      <c r="H8" s="326" t="s">
        <v>445</v>
      </c>
      <c r="I8" s="179" t="s">
        <v>91</v>
      </c>
      <c r="J8" s="4"/>
    </row>
    <row r="9" spans="2:15" ht="18" x14ac:dyDescent="0.2">
      <c r="B9" s="214" t="s">
        <v>92</v>
      </c>
      <c r="C9" s="173" t="s">
        <v>93</v>
      </c>
      <c r="D9" s="288" t="s">
        <v>94</v>
      </c>
      <c r="E9" s="326" t="s">
        <v>445</v>
      </c>
      <c r="F9" s="326" t="s">
        <v>445</v>
      </c>
      <c r="G9" s="326" t="s">
        <v>445</v>
      </c>
      <c r="H9" s="326" t="s">
        <v>445</v>
      </c>
      <c r="I9" s="179" t="s">
        <v>95</v>
      </c>
      <c r="J9" s="4"/>
    </row>
    <row r="10" spans="2:15" ht="18" x14ac:dyDescent="0.2">
      <c r="B10" s="214" t="s">
        <v>96</v>
      </c>
      <c r="C10" s="173" t="s">
        <v>93</v>
      </c>
      <c r="D10" s="288" t="s">
        <v>97</v>
      </c>
      <c r="E10" s="326" t="s">
        <v>445</v>
      </c>
      <c r="F10" s="326" t="s">
        <v>445</v>
      </c>
      <c r="G10" s="326" t="s">
        <v>445</v>
      </c>
      <c r="H10" s="326" t="s">
        <v>445</v>
      </c>
      <c r="I10" s="170" t="s">
        <v>98</v>
      </c>
      <c r="J10" s="4"/>
    </row>
    <row r="11" spans="2:15" ht="18" x14ac:dyDescent="0.25">
      <c r="B11" s="30" t="s">
        <v>99</v>
      </c>
      <c r="C11" s="98" t="s">
        <v>87</v>
      </c>
      <c r="D11" s="287" t="s">
        <v>100</v>
      </c>
      <c r="E11" s="326" t="s">
        <v>445</v>
      </c>
      <c r="F11" s="326" t="s">
        <v>445</v>
      </c>
      <c r="G11" s="326" t="s">
        <v>445</v>
      </c>
      <c r="H11" s="326" t="s">
        <v>445</v>
      </c>
      <c r="I11" s="179" t="s">
        <v>27</v>
      </c>
      <c r="J11" s="4"/>
    </row>
    <row r="12" spans="2:15" ht="18" x14ac:dyDescent="0.25">
      <c r="B12" s="30" t="s">
        <v>101</v>
      </c>
      <c r="C12" s="71" t="s">
        <v>102</v>
      </c>
      <c r="D12" s="287" t="s">
        <v>103</v>
      </c>
      <c r="E12" s="326" t="s">
        <v>445</v>
      </c>
      <c r="F12" s="326" t="s">
        <v>445</v>
      </c>
      <c r="G12" s="326" t="s">
        <v>445</v>
      </c>
      <c r="H12" s="326" t="s">
        <v>445</v>
      </c>
      <c r="I12" s="179" t="s">
        <v>27</v>
      </c>
      <c r="J12" s="4"/>
    </row>
    <row r="13" spans="2:15" ht="18" x14ac:dyDescent="0.25">
      <c r="B13" s="30" t="s">
        <v>104</v>
      </c>
      <c r="C13" s="71" t="s">
        <v>102</v>
      </c>
      <c r="D13" s="287" t="s">
        <v>105</v>
      </c>
      <c r="E13" s="326" t="s">
        <v>445</v>
      </c>
      <c r="F13" s="326" t="s">
        <v>445</v>
      </c>
      <c r="G13" s="326" t="s">
        <v>445</v>
      </c>
      <c r="H13" s="326" t="s">
        <v>445</v>
      </c>
      <c r="I13" s="179" t="s">
        <v>27</v>
      </c>
      <c r="J13" s="4"/>
    </row>
    <row r="14" spans="2:15" ht="18" x14ac:dyDescent="0.25">
      <c r="B14" s="30" t="s">
        <v>106</v>
      </c>
      <c r="C14" s="71" t="s">
        <v>102</v>
      </c>
      <c r="D14" s="287" t="s">
        <v>107</v>
      </c>
      <c r="E14" s="326" t="s">
        <v>445</v>
      </c>
      <c r="F14" s="326" t="s">
        <v>445</v>
      </c>
      <c r="G14" s="326" t="s">
        <v>445</v>
      </c>
      <c r="H14" s="326" t="s">
        <v>445</v>
      </c>
      <c r="I14" s="179" t="s">
        <v>27</v>
      </c>
      <c r="J14" s="4"/>
    </row>
    <row r="15" spans="2:15" ht="18" x14ac:dyDescent="0.2">
      <c r="B15" s="215" t="s">
        <v>108</v>
      </c>
      <c r="C15" s="171" t="s">
        <v>102</v>
      </c>
      <c r="D15" s="288" t="s">
        <v>109</v>
      </c>
      <c r="E15" s="326" t="s">
        <v>445</v>
      </c>
      <c r="F15" s="326" t="s">
        <v>445</v>
      </c>
      <c r="G15" s="326" t="s">
        <v>445</v>
      </c>
      <c r="H15" s="326" t="s">
        <v>445</v>
      </c>
      <c r="I15" s="180" t="s">
        <v>110</v>
      </c>
      <c r="J15" s="4"/>
    </row>
    <row r="16" spans="2:15" ht="18" x14ac:dyDescent="0.25">
      <c r="B16" s="30" t="s">
        <v>111</v>
      </c>
      <c r="C16" s="71" t="s">
        <v>102</v>
      </c>
      <c r="D16" s="287" t="s">
        <v>112</v>
      </c>
      <c r="E16" s="326" t="s">
        <v>445</v>
      </c>
      <c r="F16" s="326" t="s">
        <v>445</v>
      </c>
      <c r="G16" s="326" t="s">
        <v>445</v>
      </c>
      <c r="H16" s="326" t="s">
        <v>445</v>
      </c>
      <c r="I16" s="179" t="s">
        <v>27</v>
      </c>
      <c r="J16" s="4"/>
    </row>
    <row r="17" spans="2:14" ht="18" x14ac:dyDescent="0.25">
      <c r="B17" s="30" t="s">
        <v>113</v>
      </c>
      <c r="C17" s="73" t="s">
        <v>114</v>
      </c>
      <c r="D17" s="287" t="s">
        <v>114</v>
      </c>
      <c r="E17" s="326" t="s">
        <v>445</v>
      </c>
      <c r="F17" s="326" t="s">
        <v>445</v>
      </c>
      <c r="G17" s="326" t="s">
        <v>445</v>
      </c>
      <c r="H17" s="140"/>
      <c r="I17" s="57"/>
      <c r="J17" s="4"/>
    </row>
    <row r="18" spans="2:14" ht="18" x14ac:dyDescent="0.25">
      <c r="B18" s="30" t="s">
        <v>115</v>
      </c>
      <c r="C18" s="71" t="s">
        <v>102</v>
      </c>
      <c r="D18" s="287" t="s">
        <v>116</v>
      </c>
      <c r="E18" s="326" t="s">
        <v>445</v>
      </c>
      <c r="F18" s="326" t="s">
        <v>445</v>
      </c>
      <c r="G18" s="326" t="s">
        <v>445</v>
      </c>
      <c r="H18" s="326" t="s">
        <v>445</v>
      </c>
      <c r="I18" s="179" t="s">
        <v>117</v>
      </c>
      <c r="J18" s="4"/>
    </row>
    <row r="19" spans="2:14" ht="18.75" thickBot="1" x14ac:dyDescent="0.3">
      <c r="B19" s="30" t="s">
        <v>118</v>
      </c>
      <c r="C19" s="72"/>
      <c r="D19" s="32"/>
      <c r="E19" s="326" t="s">
        <v>445</v>
      </c>
      <c r="F19" s="326" t="s">
        <v>445</v>
      </c>
      <c r="G19" s="326" t="s">
        <v>445</v>
      </c>
      <c r="H19" s="326" t="s">
        <v>445</v>
      </c>
      <c r="I19" s="48"/>
      <c r="J19" s="4"/>
    </row>
    <row r="20" spans="2:14" ht="13.5" thickBot="1" x14ac:dyDescent="0.25">
      <c r="B20" s="8" t="s">
        <v>25</v>
      </c>
      <c r="C20" s="8"/>
      <c r="D20" s="3"/>
      <c r="E20" s="3"/>
      <c r="F20" s="3"/>
      <c r="G20" s="3"/>
      <c r="H20" s="3"/>
      <c r="I20" s="138"/>
      <c r="J20" s="4"/>
    </row>
    <row r="21" spans="2:14" ht="18.75" thickBot="1" x14ac:dyDescent="0.3">
      <c r="B21" s="74" t="s">
        <v>119</v>
      </c>
      <c r="C21" s="152"/>
      <c r="D21" s="153"/>
      <c r="E21" s="154"/>
      <c r="F21" s="155"/>
      <c r="G21" s="155"/>
      <c r="H21" s="156"/>
      <c r="I21" s="157"/>
    </row>
    <row r="22" spans="2:14" s="176" customFormat="1" ht="18" x14ac:dyDescent="0.2">
      <c r="B22" s="213" t="s">
        <v>120</v>
      </c>
      <c r="C22" s="169" t="s">
        <v>87</v>
      </c>
      <c r="D22" s="310" t="s">
        <v>121</v>
      </c>
      <c r="E22" s="326" t="s">
        <v>445</v>
      </c>
      <c r="F22" s="326" t="s">
        <v>445</v>
      </c>
      <c r="G22" s="326" t="s">
        <v>445</v>
      </c>
      <c r="H22" s="326" t="s">
        <v>445</v>
      </c>
      <c r="I22" s="174" t="s">
        <v>122</v>
      </c>
      <c r="J22" s="175"/>
    </row>
    <row r="23" spans="2:14" s="176" customFormat="1" ht="18" x14ac:dyDescent="0.25">
      <c r="B23" s="30" t="s">
        <v>123</v>
      </c>
      <c r="C23" s="169" t="s">
        <v>87</v>
      </c>
      <c r="D23" s="310" t="s">
        <v>121</v>
      </c>
      <c r="E23" s="326" t="s">
        <v>445</v>
      </c>
      <c r="F23" s="326" t="s">
        <v>445</v>
      </c>
      <c r="G23" s="326" t="s">
        <v>445</v>
      </c>
      <c r="H23" s="326" t="s">
        <v>445</v>
      </c>
      <c r="I23" s="174" t="s">
        <v>124</v>
      </c>
      <c r="J23" s="175"/>
      <c r="K23"/>
      <c r="L23"/>
      <c r="M23"/>
    </row>
    <row r="24" spans="2:14" s="176" customFormat="1" ht="18" x14ac:dyDescent="0.25">
      <c r="B24" s="30" t="s">
        <v>125</v>
      </c>
      <c r="C24" s="169" t="s">
        <v>87</v>
      </c>
      <c r="D24" s="310" t="s">
        <v>126</v>
      </c>
      <c r="E24" s="326" t="s">
        <v>445</v>
      </c>
      <c r="F24" s="326" t="s">
        <v>445</v>
      </c>
      <c r="G24" s="326" t="s">
        <v>445</v>
      </c>
      <c r="H24" s="326" t="s">
        <v>445</v>
      </c>
      <c r="I24" s="174" t="s">
        <v>124</v>
      </c>
      <c r="J24" s="175"/>
      <c r="K24"/>
      <c r="L24"/>
    </row>
    <row r="25" spans="2:14" s="176" customFormat="1" ht="35.1" customHeight="1" x14ac:dyDescent="0.2">
      <c r="B25" s="215" t="s">
        <v>127</v>
      </c>
      <c r="C25" s="169" t="s">
        <v>87</v>
      </c>
      <c r="D25" s="311" t="s">
        <v>128</v>
      </c>
      <c r="E25" s="326" t="s">
        <v>445</v>
      </c>
      <c r="F25" s="326" t="s">
        <v>445</v>
      </c>
      <c r="G25" s="326" t="s">
        <v>445</v>
      </c>
      <c r="H25" s="326" t="s">
        <v>445</v>
      </c>
      <c r="I25" s="174" t="s">
        <v>124</v>
      </c>
      <c r="J25" s="175"/>
      <c r="K25"/>
      <c r="L25" s="301"/>
    </row>
    <row r="26" spans="2:14" s="176" customFormat="1" ht="35.1" customHeight="1" x14ac:dyDescent="0.2">
      <c r="B26" s="215" t="s">
        <v>129</v>
      </c>
      <c r="C26" s="169" t="s">
        <v>87</v>
      </c>
      <c r="D26" s="311" t="s">
        <v>130</v>
      </c>
      <c r="E26" s="326" t="s">
        <v>445</v>
      </c>
      <c r="F26" s="326" t="s">
        <v>445</v>
      </c>
      <c r="G26" s="326" t="s">
        <v>445</v>
      </c>
      <c r="H26" s="326" t="s">
        <v>445</v>
      </c>
      <c r="I26" s="174" t="s">
        <v>124</v>
      </c>
      <c r="J26" s="175"/>
      <c r="L26" s="302"/>
      <c r="N26" s="7"/>
    </row>
    <row r="27" spans="2:14" s="7" customFormat="1" ht="18" x14ac:dyDescent="0.25">
      <c r="B27" s="30" t="s">
        <v>131</v>
      </c>
      <c r="C27" s="98" t="s">
        <v>93</v>
      </c>
      <c r="D27" s="310" t="s">
        <v>132</v>
      </c>
      <c r="E27" s="326" t="s">
        <v>445</v>
      </c>
      <c r="F27" s="326" t="s">
        <v>445</v>
      </c>
      <c r="G27" s="326" t="s">
        <v>445</v>
      </c>
      <c r="H27" s="326" t="s">
        <v>445</v>
      </c>
      <c r="I27" s="135"/>
      <c r="J27" s="4"/>
      <c r="L27" s="303"/>
      <c r="M27" s="176"/>
    </row>
    <row r="28" spans="2:14" s="7" customFormat="1" ht="18" x14ac:dyDescent="0.25">
      <c r="B28" s="30" t="s">
        <v>133</v>
      </c>
      <c r="C28" s="98" t="s">
        <v>93</v>
      </c>
      <c r="D28" s="310" t="s">
        <v>134</v>
      </c>
      <c r="E28" s="326" t="s">
        <v>445</v>
      </c>
      <c r="F28" s="326" t="s">
        <v>445</v>
      </c>
      <c r="G28" s="326" t="s">
        <v>445</v>
      </c>
      <c r="H28" s="326" t="s">
        <v>445</v>
      </c>
      <c r="I28" s="135"/>
      <c r="J28" s="4"/>
      <c r="M28" s="176"/>
    </row>
    <row r="29" spans="2:14" s="7" customFormat="1" ht="36" x14ac:dyDescent="0.25">
      <c r="B29" s="30" t="s">
        <v>135</v>
      </c>
      <c r="C29" s="98" t="s">
        <v>93</v>
      </c>
      <c r="D29" s="311" t="s">
        <v>136</v>
      </c>
      <c r="E29" s="326" t="s">
        <v>445</v>
      </c>
      <c r="F29" s="326" t="s">
        <v>445</v>
      </c>
      <c r="G29" s="326" t="s">
        <v>445</v>
      </c>
      <c r="H29" s="326" t="s">
        <v>445</v>
      </c>
      <c r="I29" s="151" t="s">
        <v>137</v>
      </c>
      <c r="J29" s="4"/>
      <c r="M29" s="176"/>
    </row>
    <row r="30" spans="2:14" s="7" customFormat="1" ht="36" x14ac:dyDescent="0.25">
      <c r="B30" s="30" t="s">
        <v>138</v>
      </c>
      <c r="C30" s="98" t="s">
        <v>93</v>
      </c>
      <c r="D30" s="311" t="s">
        <v>139</v>
      </c>
      <c r="E30" s="326" t="s">
        <v>445</v>
      </c>
      <c r="F30" s="326" t="s">
        <v>445</v>
      </c>
      <c r="G30" s="326" t="s">
        <v>445</v>
      </c>
      <c r="H30" s="326" t="s">
        <v>445</v>
      </c>
      <c r="I30" s="151" t="s">
        <v>137</v>
      </c>
      <c r="J30" s="4"/>
      <c r="M30" s="176"/>
    </row>
    <row r="31" spans="2:14" s="7" customFormat="1" ht="36" x14ac:dyDescent="0.25">
      <c r="B31" s="30" t="s">
        <v>140</v>
      </c>
      <c r="C31" s="98" t="s">
        <v>93</v>
      </c>
      <c r="D31" s="311" t="s">
        <v>141</v>
      </c>
      <c r="E31" s="326" t="s">
        <v>445</v>
      </c>
      <c r="F31" s="326" t="s">
        <v>445</v>
      </c>
      <c r="G31" s="326" t="s">
        <v>445</v>
      </c>
      <c r="H31" s="326" t="s">
        <v>445</v>
      </c>
      <c r="I31" s="151" t="s">
        <v>137</v>
      </c>
      <c r="J31" s="4"/>
      <c r="M31" s="176"/>
    </row>
    <row r="32" spans="2:14" s="7" customFormat="1" ht="36" x14ac:dyDescent="0.25">
      <c r="B32" s="30" t="s">
        <v>142</v>
      </c>
      <c r="C32" s="98" t="s">
        <v>93</v>
      </c>
      <c r="D32" s="311" t="s">
        <v>143</v>
      </c>
      <c r="E32" s="326" t="s">
        <v>445</v>
      </c>
      <c r="F32" s="326" t="s">
        <v>445</v>
      </c>
      <c r="G32" s="326" t="s">
        <v>445</v>
      </c>
      <c r="H32" s="326" t="s">
        <v>445</v>
      </c>
      <c r="I32" s="151" t="s">
        <v>137</v>
      </c>
      <c r="J32" s="4"/>
      <c r="M32" s="176"/>
    </row>
    <row r="33" spans="2:13" s="7" customFormat="1" ht="18" x14ac:dyDescent="0.25">
      <c r="B33" s="30" t="s">
        <v>99</v>
      </c>
      <c r="C33" s="98" t="s">
        <v>87</v>
      </c>
      <c r="D33" s="31" t="s">
        <v>144</v>
      </c>
      <c r="E33" s="326" t="s">
        <v>445</v>
      </c>
      <c r="F33" s="326" t="s">
        <v>445</v>
      </c>
      <c r="G33" s="326" t="s">
        <v>445</v>
      </c>
      <c r="H33" s="326" t="s">
        <v>445</v>
      </c>
      <c r="I33" s="151" t="s">
        <v>145</v>
      </c>
      <c r="J33" s="4"/>
      <c r="M33" s="176"/>
    </row>
    <row r="34" spans="2:13" s="7" customFormat="1" ht="35.1" customHeight="1" x14ac:dyDescent="0.2">
      <c r="B34" s="215" t="s">
        <v>146</v>
      </c>
      <c r="C34" s="171" t="s">
        <v>102</v>
      </c>
      <c r="D34" s="311" t="s">
        <v>147</v>
      </c>
      <c r="E34" s="326" t="s">
        <v>445</v>
      </c>
      <c r="F34" s="326" t="s">
        <v>445</v>
      </c>
      <c r="G34" s="326" t="s">
        <v>445</v>
      </c>
      <c r="H34" s="326" t="s">
        <v>445</v>
      </c>
      <c r="I34" s="294"/>
      <c r="J34" s="4"/>
      <c r="M34" s="176"/>
    </row>
    <row r="35" spans="2:13" s="7" customFormat="1" ht="35.1" customHeight="1" x14ac:dyDescent="0.2">
      <c r="B35" s="215" t="s">
        <v>148</v>
      </c>
      <c r="C35" s="171" t="s">
        <v>102</v>
      </c>
      <c r="D35" s="311" t="s">
        <v>149</v>
      </c>
      <c r="E35" s="326" t="s">
        <v>445</v>
      </c>
      <c r="F35" s="326" t="s">
        <v>445</v>
      </c>
      <c r="G35" s="326" t="s">
        <v>445</v>
      </c>
      <c r="H35" s="326" t="s">
        <v>445</v>
      </c>
      <c r="I35" s="294"/>
      <c r="J35" s="4"/>
      <c r="M35" s="176"/>
    </row>
    <row r="36" spans="2:13" s="7" customFormat="1" ht="35.1" customHeight="1" x14ac:dyDescent="0.2">
      <c r="B36" s="215" t="s">
        <v>150</v>
      </c>
      <c r="C36" s="171" t="s">
        <v>102</v>
      </c>
      <c r="D36" s="311" t="s">
        <v>151</v>
      </c>
      <c r="E36" s="326" t="s">
        <v>445</v>
      </c>
      <c r="F36" s="326" t="s">
        <v>445</v>
      </c>
      <c r="G36" s="326" t="s">
        <v>445</v>
      </c>
      <c r="H36" s="326" t="s">
        <v>445</v>
      </c>
      <c r="I36" s="294"/>
      <c r="J36" s="4"/>
      <c r="M36" s="176"/>
    </row>
    <row r="37" spans="2:13" s="7" customFormat="1" ht="35.1" customHeight="1" x14ac:dyDescent="0.2">
      <c r="B37" s="215" t="s">
        <v>152</v>
      </c>
      <c r="C37" s="171" t="s">
        <v>102</v>
      </c>
      <c r="D37" s="311" t="s">
        <v>153</v>
      </c>
      <c r="E37" s="326" t="s">
        <v>445</v>
      </c>
      <c r="F37" s="326" t="s">
        <v>445</v>
      </c>
      <c r="G37" s="326" t="s">
        <v>445</v>
      </c>
      <c r="H37" s="326" t="s">
        <v>445</v>
      </c>
      <c r="I37" s="294"/>
      <c r="J37" s="4"/>
      <c r="M37" s="176"/>
    </row>
    <row r="38" spans="2:13" s="7" customFormat="1" ht="18" x14ac:dyDescent="0.25">
      <c r="B38" s="30" t="s">
        <v>104</v>
      </c>
      <c r="C38" s="71" t="s">
        <v>102</v>
      </c>
      <c r="D38" s="31" t="s">
        <v>154</v>
      </c>
      <c r="E38" s="326" t="s">
        <v>445</v>
      </c>
      <c r="F38" s="326" t="s">
        <v>445</v>
      </c>
      <c r="G38" s="326" t="s">
        <v>445</v>
      </c>
      <c r="H38" s="326" t="s">
        <v>445</v>
      </c>
      <c r="I38" s="135"/>
      <c r="J38" s="4"/>
      <c r="M38" s="176"/>
    </row>
    <row r="39" spans="2:13" s="7" customFormat="1" ht="18" x14ac:dyDescent="0.25">
      <c r="B39" s="30" t="s">
        <v>106</v>
      </c>
      <c r="C39" s="71" t="s">
        <v>102</v>
      </c>
      <c r="D39" s="31" t="s">
        <v>155</v>
      </c>
      <c r="E39" s="326" t="s">
        <v>445</v>
      </c>
      <c r="F39" s="326" t="s">
        <v>445</v>
      </c>
      <c r="G39" s="326" t="s">
        <v>445</v>
      </c>
      <c r="H39" s="326" t="s">
        <v>445</v>
      </c>
      <c r="I39" s="135"/>
      <c r="J39" s="4"/>
      <c r="M39" s="176"/>
    </row>
    <row r="40" spans="2:13" s="7" customFormat="1" ht="18" x14ac:dyDescent="0.25">
      <c r="B40" s="30" t="s">
        <v>108</v>
      </c>
      <c r="C40" s="73" t="s">
        <v>114</v>
      </c>
      <c r="D40" s="287" t="s">
        <v>114</v>
      </c>
      <c r="E40" s="326" t="s">
        <v>445</v>
      </c>
      <c r="F40" s="326" t="s">
        <v>445</v>
      </c>
      <c r="G40" s="326" t="s">
        <v>445</v>
      </c>
      <c r="H40" s="326" t="s">
        <v>445</v>
      </c>
      <c r="I40" s="135"/>
      <c r="J40" s="4"/>
      <c r="M40" s="176"/>
    </row>
    <row r="41" spans="2:13" ht="18" x14ac:dyDescent="0.25">
      <c r="B41" s="30" t="s">
        <v>111</v>
      </c>
      <c r="C41" s="71" t="s">
        <v>102</v>
      </c>
      <c r="D41" s="31" t="s">
        <v>156</v>
      </c>
      <c r="E41" s="326" t="s">
        <v>445</v>
      </c>
      <c r="F41" s="326" t="s">
        <v>445</v>
      </c>
      <c r="G41" s="326" t="s">
        <v>445</v>
      </c>
      <c r="H41" s="326" t="s">
        <v>445</v>
      </c>
      <c r="I41" s="135"/>
      <c r="J41" s="4"/>
      <c r="M41" s="176"/>
    </row>
    <row r="42" spans="2:13" ht="18" x14ac:dyDescent="0.25">
      <c r="B42" s="30" t="s">
        <v>157</v>
      </c>
      <c r="C42" s="71" t="s">
        <v>102</v>
      </c>
      <c r="D42" s="31" t="s">
        <v>158</v>
      </c>
      <c r="E42" s="326" t="s">
        <v>445</v>
      </c>
      <c r="F42" s="326" t="s">
        <v>445</v>
      </c>
      <c r="G42" s="326" t="s">
        <v>445</v>
      </c>
      <c r="H42" s="326" t="s">
        <v>445</v>
      </c>
      <c r="I42" s="174" t="s">
        <v>159</v>
      </c>
      <c r="J42" s="4"/>
    </row>
    <row r="43" spans="2:13" ht="18" x14ac:dyDescent="0.25">
      <c r="B43" s="30" t="s">
        <v>160</v>
      </c>
      <c r="C43" s="71" t="s">
        <v>102</v>
      </c>
      <c r="D43" s="31" t="s">
        <v>161</v>
      </c>
      <c r="E43" s="326" t="s">
        <v>445</v>
      </c>
      <c r="F43" s="326" t="s">
        <v>445</v>
      </c>
      <c r="G43" s="326" t="s">
        <v>445</v>
      </c>
      <c r="H43" s="326" t="s">
        <v>445</v>
      </c>
      <c r="I43" s="151" t="s">
        <v>162</v>
      </c>
      <c r="J43" s="4"/>
    </row>
    <row r="44" spans="2:13" ht="18" x14ac:dyDescent="0.25">
      <c r="B44" s="30" t="s">
        <v>163</v>
      </c>
      <c r="C44" s="71" t="s">
        <v>102</v>
      </c>
      <c r="D44" s="31" t="s">
        <v>164</v>
      </c>
      <c r="E44" s="326" t="s">
        <v>445</v>
      </c>
      <c r="F44" s="326" t="s">
        <v>445</v>
      </c>
      <c r="G44" s="326" t="s">
        <v>445</v>
      </c>
      <c r="H44" s="326" t="s">
        <v>445</v>
      </c>
      <c r="I44" s="151"/>
      <c r="J44" s="4"/>
    </row>
    <row r="45" spans="2:13" ht="18" x14ac:dyDescent="0.25">
      <c r="B45" s="30" t="s">
        <v>165</v>
      </c>
      <c r="C45" s="71" t="s">
        <v>102</v>
      </c>
      <c r="D45" s="31" t="s">
        <v>166</v>
      </c>
      <c r="E45" s="326" t="s">
        <v>445</v>
      </c>
      <c r="F45" s="326" t="s">
        <v>445</v>
      </c>
      <c r="G45" s="326" t="s">
        <v>445</v>
      </c>
      <c r="H45" s="326" t="s">
        <v>445</v>
      </c>
      <c r="I45" s="151"/>
      <c r="J45" s="4"/>
    </row>
    <row r="46" spans="2:13" ht="18" x14ac:dyDescent="0.25">
      <c r="B46" s="30" t="s">
        <v>167</v>
      </c>
      <c r="C46" s="71" t="s">
        <v>102</v>
      </c>
      <c r="D46" s="31" t="s">
        <v>168</v>
      </c>
      <c r="E46" s="326" t="s">
        <v>445</v>
      </c>
      <c r="F46" s="326" t="s">
        <v>445</v>
      </c>
      <c r="G46" s="326" t="s">
        <v>445</v>
      </c>
      <c r="H46" s="326" t="s">
        <v>445</v>
      </c>
      <c r="I46" s="151"/>
      <c r="J46" s="4"/>
    </row>
    <row r="47" spans="2:13" ht="18" x14ac:dyDescent="0.25">
      <c r="B47" s="30" t="s">
        <v>169</v>
      </c>
      <c r="C47" s="71" t="s">
        <v>102</v>
      </c>
      <c r="D47" s="31" t="s">
        <v>144</v>
      </c>
      <c r="E47" s="326" t="s">
        <v>445</v>
      </c>
      <c r="F47" s="326" t="s">
        <v>445</v>
      </c>
      <c r="G47" s="326" t="s">
        <v>445</v>
      </c>
      <c r="H47" s="326" t="s">
        <v>445</v>
      </c>
      <c r="I47" s="174" t="s">
        <v>170</v>
      </c>
      <c r="J47" s="4"/>
    </row>
    <row r="48" spans="2:13" ht="20.25" x14ac:dyDescent="0.25">
      <c r="B48" s="30"/>
      <c r="C48" s="71"/>
      <c r="D48" s="35"/>
      <c r="E48" s="55"/>
      <c r="F48" s="55"/>
      <c r="G48" s="55"/>
      <c r="H48" s="54"/>
      <c r="I48" s="135"/>
    </row>
    <row r="49" spans="2:16" ht="18" x14ac:dyDescent="0.25">
      <c r="B49" s="30"/>
      <c r="C49" s="71"/>
      <c r="D49" s="31"/>
      <c r="E49" s="55"/>
      <c r="F49" s="55"/>
      <c r="G49" s="55"/>
      <c r="H49" s="54"/>
      <c r="I49" s="135"/>
    </row>
    <row r="50" spans="2:16" ht="18" x14ac:dyDescent="0.25">
      <c r="B50" s="30"/>
      <c r="C50" s="71"/>
      <c r="D50" s="28"/>
      <c r="E50" s="55"/>
      <c r="F50" s="55"/>
      <c r="G50" s="55"/>
      <c r="H50" s="54"/>
      <c r="I50" s="135"/>
    </row>
    <row r="51" spans="2:16" ht="18" x14ac:dyDescent="0.25">
      <c r="B51" s="30"/>
      <c r="C51" s="71"/>
      <c r="D51" s="28"/>
      <c r="E51" s="55"/>
      <c r="F51" s="55"/>
      <c r="G51" s="55"/>
      <c r="H51" s="54"/>
      <c r="I51" s="136"/>
    </row>
    <row r="52" spans="2:16" ht="18.75" thickBot="1" x14ac:dyDescent="0.3">
      <c r="B52" s="41" t="s">
        <v>118</v>
      </c>
      <c r="C52" s="72"/>
      <c r="D52" s="32"/>
      <c r="E52" s="326" t="s">
        <v>445</v>
      </c>
      <c r="F52" s="326" t="s">
        <v>445</v>
      </c>
      <c r="G52" s="326" t="s">
        <v>445</v>
      </c>
      <c r="H52" s="326" t="s">
        <v>445</v>
      </c>
      <c r="I52" s="137"/>
      <c r="P52" s="281"/>
    </row>
    <row r="53" spans="2:16" ht="13.5" thickBot="1" x14ac:dyDescent="0.25">
      <c r="B53" s="8" t="s">
        <v>25</v>
      </c>
      <c r="C53" s="8"/>
      <c r="D53" s="3"/>
      <c r="E53" s="3"/>
      <c r="F53" s="3"/>
      <c r="G53" s="3"/>
      <c r="H53" s="3"/>
      <c r="I53" s="138"/>
    </row>
    <row r="54" spans="2:16" ht="18.75" thickBot="1" x14ac:dyDescent="0.3">
      <c r="B54" s="74" t="s">
        <v>171</v>
      </c>
      <c r="C54" s="152"/>
      <c r="D54" s="153"/>
      <c r="E54" s="154"/>
      <c r="F54" s="155"/>
      <c r="G54" s="155"/>
      <c r="H54" s="156"/>
      <c r="I54" s="157"/>
    </row>
    <row r="55" spans="2:16" ht="18" x14ac:dyDescent="0.25">
      <c r="B55" s="150" t="s">
        <v>172</v>
      </c>
      <c r="C55" s="169" t="s">
        <v>87</v>
      </c>
      <c r="D55" s="31" t="s">
        <v>173</v>
      </c>
      <c r="E55" s="326" t="s">
        <v>445</v>
      </c>
      <c r="F55" s="326" t="s">
        <v>445</v>
      </c>
      <c r="G55" s="326" t="s">
        <v>445</v>
      </c>
      <c r="H55" s="326" t="s">
        <v>445</v>
      </c>
      <c r="I55" s="151" t="s">
        <v>174</v>
      </c>
    </row>
    <row r="56" spans="2:16" ht="18" x14ac:dyDescent="0.25">
      <c r="B56" s="27" t="s">
        <v>175</v>
      </c>
      <c r="C56" s="169" t="s">
        <v>87</v>
      </c>
      <c r="D56" s="31" t="s">
        <v>176</v>
      </c>
      <c r="E56" s="326" t="s">
        <v>445</v>
      </c>
      <c r="F56" s="326" t="s">
        <v>445</v>
      </c>
      <c r="G56" s="326" t="s">
        <v>445</v>
      </c>
      <c r="H56" s="326" t="s">
        <v>445</v>
      </c>
      <c r="I56" s="151" t="s">
        <v>177</v>
      </c>
      <c r="M56" s="285"/>
    </row>
    <row r="57" spans="2:16" ht="18" x14ac:dyDescent="0.25">
      <c r="B57" s="29" t="s">
        <v>178</v>
      </c>
      <c r="C57" s="169" t="s">
        <v>87</v>
      </c>
      <c r="D57" s="31" t="s">
        <v>179</v>
      </c>
      <c r="E57" s="326" t="s">
        <v>445</v>
      </c>
      <c r="F57" s="326" t="s">
        <v>445</v>
      </c>
      <c r="G57" s="326" t="s">
        <v>445</v>
      </c>
      <c r="H57" s="326" t="s">
        <v>445</v>
      </c>
      <c r="I57" s="151" t="s">
        <v>177</v>
      </c>
    </row>
    <row r="58" spans="2:16" ht="18" x14ac:dyDescent="0.25">
      <c r="B58" s="30" t="s">
        <v>180</v>
      </c>
      <c r="C58" s="169" t="s">
        <v>87</v>
      </c>
      <c r="D58" s="31" t="s">
        <v>181</v>
      </c>
      <c r="E58" s="326" t="s">
        <v>445</v>
      </c>
      <c r="F58" s="326" t="s">
        <v>445</v>
      </c>
      <c r="G58" s="326" t="s">
        <v>445</v>
      </c>
      <c r="H58" s="326" t="s">
        <v>445</v>
      </c>
      <c r="I58" s="151" t="s">
        <v>177</v>
      </c>
    </row>
    <row r="59" spans="2:16" ht="18" x14ac:dyDescent="0.25">
      <c r="B59" s="30" t="s">
        <v>182</v>
      </c>
      <c r="C59" s="169" t="s">
        <v>87</v>
      </c>
      <c r="D59" s="31" t="s">
        <v>183</v>
      </c>
      <c r="E59" s="326" t="s">
        <v>445</v>
      </c>
      <c r="F59" s="326" t="s">
        <v>445</v>
      </c>
      <c r="G59" s="326" t="s">
        <v>445</v>
      </c>
      <c r="H59" s="326" t="s">
        <v>445</v>
      </c>
      <c r="I59" s="151" t="s">
        <v>177</v>
      </c>
    </row>
    <row r="60" spans="2:16" ht="18" x14ac:dyDescent="0.25">
      <c r="B60" s="30" t="s">
        <v>184</v>
      </c>
      <c r="C60" s="169" t="s">
        <v>87</v>
      </c>
      <c r="D60" s="31" t="s">
        <v>185</v>
      </c>
      <c r="E60" s="326" t="s">
        <v>445</v>
      </c>
      <c r="F60" s="326" t="s">
        <v>445</v>
      </c>
      <c r="G60" s="326" t="s">
        <v>445</v>
      </c>
      <c r="H60" s="326" t="s">
        <v>445</v>
      </c>
      <c r="I60" s="151" t="s">
        <v>174</v>
      </c>
    </row>
    <row r="61" spans="2:16" ht="18" x14ac:dyDescent="0.25">
      <c r="B61" s="30" t="s">
        <v>186</v>
      </c>
      <c r="C61" s="169" t="s">
        <v>87</v>
      </c>
      <c r="D61" s="31" t="s">
        <v>187</v>
      </c>
      <c r="E61" s="326" t="s">
        <v>445</v>
      </c>
      <c r="F61" s="326" t="s">
        <v>445</v>
      </c>
      <c r="G61" s="326" t="s">
        <v>445</v>
      </c>
      <c r="H61" s="326" t="s">
        <v>445</v>
      </c>
      <c r="I61" s="151" t="s">
        <v>174</v>
      </c>
    </row>
    <row r="62" spans="2:16" ht="18" x14ac:dyDescent="0.25">
      <c r="B62" s="30" t="s">
        <v>188</v>
      </c>
      <c r="C62" s="169" t="s">
        <v>87</v>
      </c>
      <c r="D62" s="31" t="s">
        <v>189</v>
      </c>
      <c r="E62" s="326" t="s">
        <v>445</v>
      </c>
      <c r="F62" s="326" t="s">
        <v>445</v>
      </c>
      <c r="G62" s="326" t="s">
        <v>445</v>
      </c>
      <c r="H62" s="326" t="s">
        <v>445</v>
      </c>
      <c r="I62" s="151" t="s">
        <v>174</v>
      </c>
    </row>
    <row r="63" spans="2:16" ht="18" x14ac:dyDescent="0.25">
      <c r="B63" s="30" t="s">
        <v>190</v>
      </c>
      <c r="C63" s="169" t="s">
        <v>87</v>
      </c>
      <c r="D63" s="31" t="s">
        <v>191</v>
      </c>
      <c r="E63" s="326" t="s">
        <v>445</v>
      </c>
      <c r="F63" s="326" t="s">
        <v>445</v>
      </c>
      <c r="G63" s="326" t="s">
        <v>445</v>
      </c>
      <c r="H63" s="326" t="s">
        <v>445</v>
      </c>
      <c r="I63" s="151" t="s">
        <v>192</v>
      </c>
    </row>
    <row r="64" spans="2:16" ht="18" x14ac:dyDescent="0.25">
      <c r="B64" s="30" t="s">
        <v>193</v>
      </c>
      <c r="C64" s="69" t="s">
        <v>93</v>
      </c>
      <c r="D64" s="167" t="s">
        <v>194</v>
      </c>
      <c r="E64" s="326" t="s">
        <v>445</v>
      </c>
      <c r="F64" s="326" t="s">
        <v>445</v>
      </c>
      <c r="G64" s="326" t="s">
        <v>445</v>
      </c>
      <c r="H64" s="326" t="s">
        <v>445</v>
      </c>
      <c r="I64" s="151"/>
    </row>
    <row r="65" spans="2:9" ht="18" x14ac:dyDescent="0.25">
      <c r="B65" s="30" t="s">
        <v>99</v>
      </c>
      <c r="C65" s="70" t="s">
        <v>195</v>
      </c>
      <c r="D65" s="31" t="s">
        <v>196</v>
      </c>
      <c r="E65" s="326" t="s">
        <v>445</v>
      </c>
      <c r="F65" s="326" t="s">
        <v>445</v>
      </c>
      <c r="G65" s="326" t="s">
        <v>445</v>
      </c>
      <c r="H65" s="326" t="s">
        <v>445</v>
      </c>
      <c r="I65" s="151" t="s">
        <v>145</v>
      </c>
    </row>
    <row r="66" spans="2:9" ht="18" x14ac:dyDescent="0.25">
      <c r="B66" s="30" t="s">
        <v>197</v>
      </c>
      <c r="C66" s="71" t="s">
        <v>102</v>
      </c>
      <c r="D66" s="31" t="s">
        <v>198</v>
      </c>
      <c r="E66" s="326" t="s">
        <v>445</v>
      </c>
      <c r="F66" s="326" t="s">
        <v>445</v>
      </c>
      <c r="G66" s="326" t="s">
        <v>445</v>
      </c>
      <c r="H66" s="326" t="s">
        <v>445</v>
      </c>
      <c r="I66" s="151"/>
    </row>
    <row r="67" spans="2:9" ht="18" x14ac:dyDescent="0.25">
      <c r="B67" s="30" t="s">
        <v>199</v>
      </c>
      <c r="C67" s="71" t="s">
        <v>102</v>
      </c>
      <c r="D67" s="31" t="s">
        <v>200</v>
      </c>
      <c r="E67" s="326" t="s">
        <v>445</v>
      </c>
      <c r="F67" s="326" t="s">
        <v>445</v>
      </c>
      <c r="G67" s="326" t="s">
        <v>445</v>
      </c>
      <c r="H67" s="326" t="s">
        <v>445</v>
      </c>
      <c r="I67" s="151"/>
    </row>
    <row r="68" spans="2:9" ht="18" x14ac:dyDescent="0.25">
      <c r="B68" s="30" t="s">
        <v>201</v>
      </c>
      <c r="C68" s="71" t="s">
        <v>102</v>
      </c>
      <c r="D68" s="31" t="s">
        <v>202</v>
      </c>
      <c r="E68" s="326" t="s">
        <v>445</v>
      </c>
      <c r="F68" s="326" t="s">
        <v>445</v>
      </c>
      <c r="G68" s="326" t="s">
        <v>445</v>
      </c>
      <c r="H68" s="326" t="s">
        <v>445</v>
      </c>
      <c r="I68" s="151"/>
    </row>
    <row r="69" spans="2:9" ht="18" x14ac:dyDescent="0.25">
      <c r="B69" s="30" t="s">
        <v>203</v>
      </c>
      <c r="C69" s="71" t="s">
        <v>102</v>
      </c>
      <c r="D69" s="31" t="s">
        <v>204</v>
      </c>
      <c r="E69" s="326" t="s">
        <v>445</v>
      </c>
      <c r="F69" s="326" t="s">
        <v>445</v>
      </c>
      <c r="G69" s="326" t="s">
        <v>445</v>
      </c>
      <c r="H69" s="326" t="s">
        <v>445</v>
      </c>
      <c r="I69" s="151"/>
    </row>
    <row r="70" spans="2:9" ht="18" x14ac:dyDescent="0.25">
      <c r="B70" s="30" t="s">
        <v>104</v>
      </c>
      <c r="C70" s="71" t="s">
        <v>102</v>
      </c>
      <c r="D70" s="31" t="s">
        <v>205</v>
      </c>
      <c r="E70" s="326" t="s">
        <v>445</v>
      </c>
      <c r="F70" s="326" t="s">
        <v>445</v>
      </c>
      <c r="G70" s="326" t="s">
        <v>445</v>
      </c>
      <c r="H70" s="326" t="s">
        <v>445</v>
      </c>
      <c r="I70" s="151"/>
    </row>
    <row r="71" spans="2:9" ht="18" x14ac:dyDescent="0.25">
      <c r="B71" s="30" t="s">
        <v>106</v>
      </c>
      <c r="C71" s="71" t="s">
        <v>102</v>
      </c>
      <c r="D71" s="31" t="s">
        <v>206</v>
      </c>
      <c r="E71" s="326" t="s">
        <v>445</v>
      </c>
      <c r="F71" s="326" t="s">
        <v>445</v>
      </c>
      <c r="G71" s="326" t="s">
        <v>445</v>
      </c>
      <c r="H71" s="326" t="s">
        <v>445</v>
      </c>
      <c r="I71" s="151"/>
    </row>
    <row r="72" spans="2:9" ht="18" x14ac:dyDescent="0.25">
      <c r="B72" s="30" t="s">
        <v>108</v>
      </c>
      <c r="C72" s="71" t="s">
        <v>102</v>
      </c>
      <c r="D72" s="31" t="s">
        <v>207</v>
      </c>
      <c r="E72" s="326" t="s">
        <v>445</v>
      </c>
      <c r="F72" s="326" t="s">
        <v>445</v>
      </c>
      <c r="G72" s="326" t="s">
        <v>445</v>
      </c>
      <c r="H72" s="326" t="s">
        <v>445</v>
      </c>
      <c r="I72" s="151" t="s">
        <v>162</v>
      </c>
    </row>
    <row r="73" spans="2:9" ht="18" x14ac:dyDescent="0.25">
      <c r="B73" s="30" t="s">
        <v>208</v>
      </c>
      <c r="C73" s="71" t="s">
        <v>102</v>
      </c>
      <c r="D73" s="31" t="s">
        <v>209</v>
      </c>
      <c r="E73" s="326" t="s">
        <v>445</v>
      </c>
      <c r="F73" s="326" t="s">
        <v>445</v>
      </c>
      <c r="G73" s="326" t="s">
        <v>445</v>
      </c>
      <c r="H73" s="326" t="s">
        <v>445</v>
      </c>
      <c r="I73" s="151"/>
    </row>
    <row r="74" spans="2:9" ht="18" x14ac:dyDescent="0.25">
      <c r="B74" s="30" t="s">
        <v>210</v>
      </c>
      <c r="C74" s="71" t="s">
        <v>102</v>
      </c>
      <c r="D74" s="31" t="s">
        <v>211</v>
      </c>
      <c r="E74" s="326" t="s">
        <v>445</v>
      </c>
      <c r="F74" s="326" t="s">
        <v>445</v>
      </c>
      <c r="G74" s="326" t="s">
        <v>445</v>
      </c>
      <c r="H74" s="326" t="s">
        <v>445</v>
      </c>
      <c r="I74" s="151"/>
    </row>
    <row r="75" spans="2:9" ht="18" x14ac:dyDescent="0.25">
      <c r="B75" s="30" t="s">
        <v>212</v>
      </c>
      <c r="C75" s="71" t="s">
        <v>102</v>
      </c>
      <c r="D75" s="31" t="s">
        <v>213</v>
      </c>
      <c r="E75" s="326" t="s">
        <v>445</v>
      </c>
      <c r="F75" s="326" t="s">
        <v>445</v>
      </c>
      <c r="G75" s="326" t="s">
        <v>445</v>
      </c>
      <c r="H75" s="326" t="s">
        <v>445</v>
      </c>
      <c r="I75" s="151"/>
    </row>
    <row r="76" spans="2:9" ht="18" x14ac:dyDescent="0.25">
      <c r="B76" s="30" t="s">
        <v>214</v>
      </c>
      <c r="C76" s="71" t="s">
        <v>102</v>
      </c>
      <c r="D76" s="31" t="s">
        <v>215</v>
      </c>
      <c r="E76" s="326" t="s">
        <v>445</v>
      </c>
      <c r="F76" s="326" t="s">
        <v>445</v>
      </c>
      <c r="G76" s="326" t="s">
        <v>445</v>
      </c>
      <c r="H76" s="326" t="s">
        <v>445</v>
      </c>
      <c r="I76" s="151"/>
    </row>
    <row r="77" spans="2:9" ht="18" x14ac:dyDescent="0.25">
      <c r="B77" s="30" t="s">
        <v>216</v>
      </c>
      <c r="C77" s="71" t="s">
        <v>102</v>
      </c>
      <c r="D77" s="31" t="s">
        <v>217</v>
      </c>
      <c r="E77" s="326" t="s">
        <v>445</v>
      </c>
      <c r="F77" s="326" t="s">
        <v>445</v>
      </c>
      <c r="G77" s="326" t="s">
        <v>445</v>
      </c>
      <c r="H77" s="326" t="s">
        <v>445</v>
      </c>
      <c r="I77" s="151"/>
    </row>
    <row r="78" spans="2:9" ht="18" x14ac:dyDescent="0.25">
      <c r="B78" s="30" t="s">
        <v>218</v>
      </c>
      <c r="C78" s="71" t="s">
        <v>102</v>
      </c>
      <c r="D78" s="31" t="s">
        <v>219</v>
      </c>
      <c r="E78" s="326" t="s">
        <v>445</v>
      </c>
      <c r="F78" s="326" t="s">
        <v>445</v>
      </c>
      <c r="G78" s="326" t="s">
        <v>445</v>
      </c>
      <c r="H78" s="326" t="s">
        <v>445</v>
      </c>
      <c r="I78" s="151"/>
    </row>
    <row r="79" spans="2:9" ht="18" x14ac:dyDescent="0.25">
      <c r="B79" s="30" t="s">
        <v>220</v>
      </c>
      <c r="C79" s="71" t="s">
        <v>102</v>
      </c>
      <c r="D79" s="31" t="s">
        <v>221</v>
      </c>
      <c r="E79" s="326" t="s">
        <v>445</v>
      </c>
      <c r="F79" s="326" t="s">
        <v>445</v>
      </c>
      <c r="G79" s="326" t="s">
        <v>445</v>
      </c>
      <c r="H79" s="326" t="s">
        <v>445</v>
      </c>
      <c r="I79" s="151"/>
    </row>
    <row r="80" spans="2:9" ht="18" x14ac:dyDescent="0.25">
      <c r="B80" s="30" t="s">
        <v>222</v>
      </c>
      <c r="C80" s="71" t="s">
        <v>102</v>
      </c>
      <c r="D80" s="31" t="s">
        <v>223</v>
      </c>
      <c r="E80" s="326" t="s">
        <v>445</v>
      </c>
      <c r="F80" s="326" t="s">
        <v>445</v>
      </c>
      <c r="G80" s="326" t="s">
        <v>445</v>
      </c>
      <c r="H80" s="326" t="s">
        <v>445</v>
      </c>
      <c r="I80" s="151"/>
    </row>
    <row r="81" spans="2:12" ht="18" x14ac:dyDescent="0.25">
      <c r="B81" s="30"/>
      <c r="C81" s="71"/>
      <c r="D81" s="31"/>
      <c r="E81" s="326" t="s">
        <v>445</v>
      </c>
      <c r="F81" s="326" t="s">
        <v>445</v>
      </c>
      <c r="G81" s="326" t="s">
        <v>445</v>
      </c>
      <c r="H81" s="326" t="s">
        <v>445</v>
      </c>
      <c r="I81" s="151"/>
    </row>
    <row r="82" spans="2:12" ht="18" x14ac:dyDescent="0.25">
      <c r="B82" s="30"/>
      <c r="C82" s="71"/>
      <c r="D82" s="28"/>
      <c r="E82" s="167"/>
      <c r="F82" s="167"/>
      <c r="G82" s="167"/>
      <c r="H82" s="140"/>
      <c r="I82" s="151"/>
    </row>
    <row r="83" spans="2:12" ht="18.75" thickBot="1" x14ac:dyDescent="0.3">
      <c r="B83" s="41" t="s">
        <v>118</v>
      </c>
      <c r="C83" s="72"/>
      <c r="D83" s="32"/>
      <c r="E83" s="326" t="s">
        <v>445</v>
      </c>
      <c r="F83" s="326" t="s">
        <v>445</v>
      </c>
      <c r="G83" s="326" t="s">
        <v>445</v>
      </c>
      <c r="H83" s="326" t="s">
        <v>445</v>
      </c>
      <c r="I83" s="151"/>
    </row>
    <row r="84" spans="2:12" ht="13.5" thickBot="1" x14ac:dyDescent="0.25">
      <c r="B84" s="8" t="s">
        <v>25</v>
      </c>
      <c r="C84" s="8"/>
      <c r="D84" s="3"/>
      <c r="E84" s="3"/>
      <c r="F84" s="3"/>
      <c r="G84" s="3"/>
      <c r="H84" s="3"/>
      <c r="I84" s="49"/>
    </row>
    <row r="85" spans="2:12" ht="18.75" thickBot="1" x14ac:dyDescent="0.3">
      <c r="B85" s="74" t="s">
        <v>224</v>
      </c>
      <c r="C85" s="152"/>
      <c r="D85" s="153"/>
      <c r="E85" s="154"/>
      <c r="F85" s="155"/>
      <c r="G85" s="155"/>
      <c r="H85" s="156"/>
      <c r="I85" s="157"/>
    </row>
    <row r="86" spans="2:12" ht="18" x14ac:dyDescent="0.25">
      <c r="B86" s="26" t="s">
        <v>178</v>
      </c>
      <c r="C86" s="169" t="s">
        <v>87</v>
      </c>
      <c r="D86" s="31" t="s">
        <v>225</v>
      </c>
      <c r="E86" s="326" t="s">
        <v>445</v>
      </c>
      <c r="F86" s="326" t="s">
        <v>445</v>
      </c>
      <c r="G86" s="326" t="s">
        <v>445</v>
      </c>
      <c r="H86" s="326" t="s">
        <v>445</v>
      </c>
      <c r="I86" s="57"/>
    </row>
    <row r="87" spans="2:12" ht="18" x14ac:dyDescent="0.25">
      <c r="B87" s="27" t="s">
        <v>186</v>
      </c>
      <c r="C87" s="169" t="s">
        <v>87</v>
      </c>
      <c r="D87" s="31" t="s">
        <v>226</v>
      </c>
      <c r="E87" s="326" t="s">
        <v>445</v>
      </c>
      <c r="F87" s="326" t="s">
        <v>445</v>
      </c>
      <c r="G87" s="326" t="s">
        <v>445</v>
      </c>
      <c r="H87" s="326" t="s">
        <v>445</v>
      </c>
      <c r="I87" s="57"/>
    </row>
    <row r="88" spans="2:12" ht="18" x14ac:dyDescent="0.25">
      <c r="B88" s="27" t="s">
        <v>227</v>
      </c>
      <c r="C88" s="169" t="s">
        <v>87</v>
      </c>
      <c r="D88" s="31" t="s">
        <v>228</v>
      </c>
      <c r="E88" s="326" t="s">
        <v>445</v>
      </c>
      <c r="F88" s="326" t="s">
        <v>445</v>
      </c>
      <c r="G88" s="326" t="s">
        <v>445</v>
      </c>
      <c r="H88" s="326" t="s">
        <v>445</v>
      </c>
      <c r="I88" s="57"/>
      <c r="L88" s="301"/>
    </row>
    <row r="89" spans="2:12" ht="18" x14ac:dyDescent="0.25">
      <c r="B89" s="30" t="s">
        <v>131</v>
      </c>
      <c r="C89" s="71" t="s">
        <v>93</v>
      </c>
      <c r="D89" s="31" t="s">
        <v>229</v>
      </c>
      <c r="E89" s="326" t="s">
        <v>445</v>
      </c>
      <c r="F89" s="326" t="s">
        <v>445</v>
      </c>
      <c r="G89" s="326" t="s">
        <v>445</v>
      </c>
      <c r="H89" s="326" t="s">
        <v>445</v>
      </c>
      <c r="I89" s="57"/>
      <c r="L89" s="301"/>
    </row>
    <row r="90" spans="2:12" ht="18" x14ac:dyDescent="0.25">
      <c r="B90" s="30" t="s">
        <v>197</v>
      </c>
      <c r="C90" s="71" t="s">
        <v>102</v>
      </c>
      <c r="D90" s="31" t="s">
        <v>230</v>
      </c>
      <c r="E90" s="326" t="s">
        <v>445</v>
      </c>
      <c r="F90" s="326" t="s">
        <v>445</v>
      </c>
      <c r="G90" s="326" t="s">
        <v>445</v>
      </c>
      <c r="H90" s="326" t="s">
        <v>445</v>
      </c>
      <c r="I90" s="57"/>
      <c r="L90" s="301"/>
    </row>
    <row r="91" spans="2:12" ht="18" x14ac:dyDescent="0.25">
      <c r="B91" s="30" t="s">
        <v>199</v>
      </c>
      <c r="C91" s="71" t="s">
        <v>102</v>
      </c>
      <c r="D91" s="31" t="s">
        <v>231</v>
      </c>
      <c r="E91" s="326" t="s">
        <v>445</v>
      </c>
      <c r="F91" s="326" t="s">
        <v>445</v>
      </c>
      <c r="G91" s="326" t="s">
        <v>445</v>
      </c>
      <c r="H91" s="326" t="s">
        <v>445</v>
      </c>
      <c r="I91" s="57"/>
      <c r="L91" s="301"/>
    </row>
    <row r="92" spans="2:12" ht="18" x14ac:dyDescent="0.25">
      <c r="B92" s="30" t="s">
        <v>104</v>
      </c>
      <c r="C92" s="71" t="s">
        <v>102</v>
      </c>
      <c r="D92" s="31" t="s">
        <v>232</v>
      </c>
      <c r="E92" s="326" t="s">
        <v>445</v>
      </c>
      <c r="F92" s="326" t="s">
        <v>445</v>
      </c>
      <c r="G92" s="326" t="s">
        <v>445</v>
      </c>
      <c r="H92" s="326" t="s">
        <v>445</v>
      </c>
      <c r="I92" s="57"/>
      <c r="L92" s="301"/>
    </row>
    <row r="93" spans="2:12" ht="18" x14ac:dyDescent="0.25">
      <c r="B93" s="30" t="s">
        <v>106</v>
      </c>
      <c r="C93" s="71" t="s">
        <v>102</v>
      </c>
      <c r="D93" s="31" t="s">
        <v>233</v>
      </c>
      <c r="E93" s="326" t="s">
        <v>445</v>
      </c>
      <c r="F93" s="326" t="s">
        <v>445</v>
      </c>
      <c r="G93" s="326" t="s">
        <v>445</v>
      </c>
      <c r="H93" s="326" t="s">
        <v>445</v>
      </c>
      <c r="I93" s="57"/>
      <c r="L93" s="301"/>
    </row>
    <row r="94" spans="2:12" ht="18" x14ac:dyDescent="0.25">
      <c r="B94" s="30" t="s">
        <v>108</v>
      </c>
      <c r="C94" s="73" t="s">
        <v>114</v>
      </c>
      <c r="D94" s="287" t="s">
        <v>114</v>
      </c>
      <c r="E94" s="326" t="s">
        <v>445</v>
      </c>
      <c r="F94" s="326" t="s">
        <v>445</v>
      </c>
      <c r="G94" s="326" t="s">
        <v>445</v>
      </c>
      <c r="H94" s="54"/>
      <c r="I94" s="57"/>
      <c r="L94" s="301"/>
    </row>
    <row r="95" spans="2:12" ht="18" x14ac:dyDescent="0.25">
      <c r="B95" s="30" t="s">
        <v>111</v>
      </c>
      <c r="C95" s="71" t="s">
        <v>102</v>
      </c>
      <c r="D95" s="31"/>
      <c r="E95" s="250"/>
      <c r="F95" s="167"/>
      <c r="G95" s="55"/>
      <c r="H95" s="54"/>
      <c r="I95" s="57"/>
      <c r="L95" s="301"/>
    </row>
    <row r="96" spans="2:12" ht="18" x14ac:dyDescent="0.25">
      <c r="B96" s="30" t="s">
        <v>113</v>
      </c>
      <c r="C96" s="71" t="s">
        <v>102</v>
      </c>
      <c r="D96" s="312" t="s">
        <v>234</v>
      </c>
      <c r="E96" s="326" t="s">
        <v>445</v>
      </c>
      <c r="F96" s="326" t="s">
        <v>445</v>
      </c>
      <c r="G96" s="326" t="s">
        <v>445</v>
      </c>
      <c r="H96" s="326" t="s">
        <v>445</v>
      </c>
      <c r="I96" s="57"/>
      <c r="L96" s="301"/>
    </row>
    <row r="97" spans="2:11" ht="18" x14ac:dyDescent="0.25">
      <c r="B97" s="30" t="s">
        <v>160</v>
      </c>
      <c r="C97" s="71" t="s">
        <v>102</v>
      </c>
      <c r="D97" s="312" t="s">
        <v>235</v>
      </c>
      <c r="E97" s="326" t="s">
        <v>445</v>
      </c>
      <c r="F97" s="326" t="s">
        <v>445</v>
      </c>
      <c r="G97" s="326" t="s">
        <v>445</v>
      </c>
      <c r="H97" s="326" t="s">
        <v>445</v>
      </c>
      <c r="I97" s="57"/>
    </row>
    <row r="98" spans="2:11" ht="18" x14ac:dyDescent="0.25">
      <c r="B98" s="30" t="s">
        <v>163</v>
      </c>
      <c r="C98" s="71" t="s">
        <v>102</v>
      </c>
      <c r="D98" s="312" t="s">
        <v>236</v>
      </c>
      <c r="E98" s="326" t="s">
        <v>445</v>
      </c>
      <c r="F98" s="326" t="s">
        <v>445</v>
      </c>
      <c r="G98" s="326" t="s">
        <v>445</v>
      </c>
      <c r="H98" s="326" t="s">
        <v>445</v>
      </c>
      <c r="I98" s="57"/>
    </row>
    <row r="99" spans="2:11" ht="18" x14ac:dyDescent="0.25">
      <c r="B99" s="30" t="s">
        <v>237</v>
      </c>
      <c r="C99" s="71" t="s">
        <v>102</v>
      </c>
      <c r="D99" s="31" t="s">
        <v>238</v>
      </c>
      <c r="E99" s="326" t="s">
        <v>445</v>
      </c>
      <c r="F99" s="326" t="s">
        <v>445</v>
      </c>
      <c r="G99" s="326" t="s">
        <v>445</v>
      </c>
      <c r="H99" s="326" t="s">
        <v>445</v>
      </c>
      <c r="I99" s="57"/>
    </row>
    <row r="100" spans="2:11" ht="18" x14ac:dyDescent="0.25">
      <c r="B100" s="30" t="s">
        <v>99</v>
      </c>
      <c r="C100" s="70" t="s">
        <v>195</v>
      </c>
      <c r="D100" s="31" t="s">
        <v>239</v>
      </c>
      <c r="E100" s="326" t="s">
        <v>445</v>
      </c>
      <c r="F100" s="326" t="s">
        <v>445</v>
      </c>
      <c r="G100" s="326" t="s">
        <v>445</v>
      </c>
      <c r="H100" s="326" t="s">
        <v>445</v>
      </c>
      <c r="I100" s="57"/>
    </row>
    <row r="101" spans="2:11" ht="18" x14ac:dyDescent="0.25">
      <c r="B101" s="30" t="s">
        <v>240</v>
      </c>
      <c r="C101" s="71" t="s">
        <v>241</v>
      </c>
      <c r="D101" s="31" t="s">
        <v>239</v>
      </c>
      <c r="E101" s="326" t="s">
        <v>445</v>
      </c>
      <c r="F101" s="326" t="s">
        <v>445</v>
      </c>
      <c r="G101" s="326" t="s">
        <v>445</v>
      </c>
      <c r="H101" s="326" t="s">
        <v>445</v>
      </c>
      <c r="I101" s="291"/>
    </row>
    <row r="102" spans="2:11" ht="18" x14ac:dyDescent="0.25">
      <c r="B102" s="30"/>
      <c r="C102" s="71"/>
      <c r="D102" s="28"/>
      <c r="E102" s="55"/>
      <c r="F102" s="55"/>
      <c r="G102" s="55"/>
      <c r="H102" s="54"/>
      <c r="I102" s="56"/>
    </row>
    <row r="103" spans="2:11" ht="18.75" thickBot="1" x14ac:dyDescent="0.3">
      <c r="B103" s="41"/>
      <c r="C103" s="72"/>
      <c r="D103" s="32"/>
      <c r="E103" s="326" t="s">
        <v>445</v>
      </c>
      <c r="F103" s="326" t="s">
        <v>445</v>
      </c>
      <c r="G103" s="326" t="s">
        <v>445</v>
      </c>
      <c r="H103" s="326" t="s">
        <v>445</v>
      </c>
      <c r="I103" s="48"/>
    </row>
    <row r="104" spans="2:11" ht="13.5" thickBot="1" x14ac:dyDescent="0.25">
      <c r="B104" s="8" t="s">
        <v>25</v>
      </c>
      <c r="C104" s="8"/>
      <c r="D104" s="3"/>
      <c r="E104" s="3"/>
      <c r="F104" s="3"/>
      <c r="G104" s="3"/>
      <c r="H104" s="3"/>
      <c r="I104" s="49"/>
    </row>
    <row r="105" spans="2:11" ht="18.75" thickBot="1" x14ac:dyDescent="0.3">
      <c r="B105" s="152" t="s">
        <v>242</v>
      </c>
      <c r="C105" s="152"/>
      <c r="D105" s="153"/>
      <c r="E105" s="154"/>
      <c r="F105" s="155"/>
      <c r="G105" s="155"/>
      <c r="H105" s="156"/>
      <c r="I105" s="157"/>
    </row>
    <row r="106" spans="2:11" ht="18" x14ac:dyDescent="0.25">
      <c r="B106" s="30" t="s">
        <v>175</v>
      </c>
      <c r="C106" s="169" t="s">
        <v>87</v>
      </c>
      <c r="D106" s="31" t="s">
        <v>243</v>
      </c>
      <c r="E106" s="326" t="s">
        <v>445</v>
      </c>
      <c r="F106" s="326" t="s">
        <v>445</v>
      </c>
      <c r="G106" s="326" t="s">
        <v>445</v>
      </c>
      <c r="H106" s="326" t="s">
        <v>445</v>
      </c>
      <c r="I106" s="57"/>
    </row>
    <row r="107" spans="2:11" ht="18" x14ac:dyDescent="0.25">
      <c r="B107" s="30" t="s">
        <v>178</v>
      </c>
      <c r="C107" s="169" t="s">
        <v>87</v>
      </c>
      <c r="D107" s="31" t="s">
        <v>244</v>
      </c>
      <c r="E107" s="326" t="s">
        <v>445</v>
      </c>
      <c r="F107" s="326" t="s">
        <v>445</v>
      </c>
      <c r="G107" s="326" t="s">
        <v>445</v>
      </c>
      <c r="H107" s="326" t="s">
        <v>445</v>
      </c>
      <c r="I107" s="57"/>
    </row>
    <row r="108" spans="2:11" ht="18" x14ac:dyDescent="0.25">
      <c r="B108" s="30" t="s">
        <v>245</v>
      </c>
      <c r="C108" s="169" t="s">
        <v>87</v>
      </c>
      <c r="D108" s="31" t="s">
        <v>246</v>
      </c>
      <c r="E108" s="326" t="s">
        <v>445</v>
      </c>
      <c r="F108" s="326" t="s">
        <v>445</v>
      </c>
      <c r="G108" s="326" t="s">
        <v>445</v>
      </c>
      <c r="H108" s="326" t="s">
        <v>445</v>
      </c>
      <c r="I108" s="57"/>
      <c r="K108" s="300"/>
    </row>
    <row r="109" spans="2:11" ht="18" x14ac:dyDescent="0.25">
      <c r="B109" s="30" t="s">
        <v>247</v>
      </c>
      <c r="C109" s="169" t="s">
        <v>87</v>
      </c>
      <c r="D109" s="31" t="s">
        <v>248</v>
      </c>
      <c r="E109" s="326" t="s">
        <v>445</v>
      </c>
      <c r="F109" s="326" t="s">
        <v>445</v>
      </c>
      <c r="G109" s="326" t="s">
        <v>445</v>
      </c>
      <c r="H109" s="326" t="s">
        <v>445</v>
      </c>
      <c r="I109" s="57"/>
    </row>
    <row r="110" spans="2:11" ht="18" x14ac:dyDescent="0.25">
      <c r="B110" s="30" t="s">
        <v>249</v>
      </c>
      <c r="C110" s="71" t="s">
        <v>93</v>
      </c>
      <c r="D110" s="31" t="s">
        <v>194</v>
      </c>
      <c r="E110" s="326" t="s">
        <v>445</v>
      </c>
      <c r="F110" s="326" t="s">
        <v>445</v>
      </c>
      <c r="G110" s="326" t="s">
        <v>445</v>
      </c>
      <c r="H110" s="326" t="s">
        <v>445</v>
      </c>
      <c r="I110" s="57"/>
    </row>
    <row r="111" spans="2:11" ht="18" x14ac:dyDescent="0.25">
      <c r="B111" s="30" t="s">
        <v>99</v>
      </c>
      <c r="C111" s="70" t="s">
        <v>102</v>
      </c>
      <c r="D111" s="31" t="s">
        <v>250</v>
      </c>
      <c r="E111" s="326" t="s">
        <v>445</v>
      </c>
      <c r="F111" s="326" t="s">
        <v>445</v>
      </c>
      <c r="G111" s="326" t="s">
        <v>445</v>
      </c>
      <c r="H111" s="326" t="s">
        <v>445</v>
      </c>
      <c r="I111" s="57"/>
    </row>
    <row r="112" spans="2:11" ht="18" x14ac:dyDescent="0.25">
      <c r="B112" s="30" t="s">
        <v>197</v>
      </c>
      <c r="C112" s="71" t="s">
        <v>102</v>
      </c>
      <c r="D112" s="31" t="s">
        <v>251</v>
      </c>
      <c r="E112" s="326" t="s">
        <v>445</v>
      </c>
      <c r="F112" s="326" t="s">
        <v>445</v>
      </c>
      <c r="G112" s="326" t="s">
        <v>445</v>
      </c>
      <c r="H112" s="326" t="s">
        <v>445</v>
      </c>
      <c r="I112" s="57"/>
    </row>
    <row r="113" spans="2:9" ht="18" x14ac:dyDescent="0.25">
      <c r="B113" s="30" t="s">
        <v>199</v>
      </c>
      <c r="C113" s="71" t="s">
        <v>102</v>
      </c>
      <c r="D113" s="31" t="s">
        <v>252</v>
      </c>
      <c r="E113" s="326" t="s">
        <v>445</v>
      </c>
      <c r="F113" s="326" t="s">
        <v>445</v>
      </c>
      <c r="G113" s="326" t="s">
        <v>445</v>
      </c>
      <c r="H113" s="326" t="s">
        <v>445</v>
      </c>
      <c r="I113" s="57"/>
    </row>
    <row r="114" spans="2:9" ht="18" x14ac:dyDescent="0.25">
      <c r="B114" s="30" t="s">
        <v>201</v>
      </c>
      <c r="C114" s="71" t="s">
        <v>102</v>
      </c>
      <c r="D114" s="31" t="s">
        <v>253</v>
      </c>
      <c r="E114" s="326" t="s">
        <v>445</v>
      </c>
      <c r="F114" s="326" t="s">
        <v>445</v>
      </c>
      <c r="G114" s="326" t="s">
        <v>445</v>
      </c>
      <c r="H114" s="326" t="s">
        <v>445</v>
      </c>
      <c r="I114" s="57"/>
    </row>
    <row r="115" spans="2:9" ht="18" x14ac:dyDescent="0.25">
      <c r="B115" s="30" t="s">
        <v>203</v>
      </c>
      <c r="C115" s="71" t="s">
        <v>102</v>
      </c>
      <c r="D115" s="31" t="s">
        <v>254</v>
      </c>
      <c r="E115" s="326" t="s">
        <v>445</v>
      </c>
      <c r="F115" s="326" t="s">
        <v>445</v>
      </c>
      <c r="G115" s="326" t="s">
        <v>445</v>
      </c>
      <c r="H115" s="326" t="s">
        <v>445</v>
      </c>
      <c r="I115" s="57"/>
    </row>
    <row r="116" spans="2:9" ht="18" x14ac:dyDescent="0.25">
      <c r="B116" s="30" t="s">
        <v>104</v>
      </c>
      <c r="C116" s="71" t="s">
        <v>102</v>
      </c>
      <c r="D116" s="31" t="s">
        <v>255</v>
      </c>
      <c r="E116" s="326" t="s">
        <v>445</v>
      </c>
      <c r="F116" s="326" t="s">
        <v>445</v>
      </c>
      <c r="G116" s="326" t="s">
        <v>445</v>
      </c>
      <c r="H116" s="326" t="s">
        <v>445</v>
      </c>
      <c r="I116" s="57"/>
    </row>
    <row r="117" spans="2:9" ht="18" x14ac:dyDescent="0.25">
      <c r="B117" s="30" t="s">
        <v>256</v>
      </c>
      <c r="C117" s="71" t="s">
        <v>102</v>
      </c>
      <c r="D117" s="31" t="s">
        <v>257</v>
      </c>
      <c r="E117" s="326" t="s">
        <v>445</v>
      </c>
      <c r="F117" s="326" t="s">
        <v>445</v>
      </c>
      <c r="G117" s="326" t="s">
        <v>445</v>
      </c>
      <c r="H117" s="326" t="s">
        <v>445</v>
      </c>
      <c r="I117" s="57"/>
    </row>
    <row r="118" spans="2:9" ht="18" x14ac:dyDescent="0.25">
      <c r="B118" s="30" t="s">
        <v>108</v>
      </c>
      <c r="C118" s="71" t="s">
        <v>102</v>
      </c>
      <c r="D118" s="31"/>
      <c r="E118" s="55"/>
      <c r="F118" s="167"/>
      <c r="G118" s="55"/>
      <c r="H118" s="54"/>
      <c r="I118" s="57"/>
    </row>
    <row r="119" spans="2:9" ht="18" x14ac:dyDescent="0.25">
      <c r="B119" s="30" t="s">
        <v>111</v>
      </c>
      <c r="C119" s="71" t="s">
        <v>102</v>
      </c>
      <c r="D119" s="31" t="s">
        <v>258</v>
      </c>
      <c r="E119" s="326" t="s">
        <v>445</v>
      </c>
      <c r="F119" s="326" t="s">
        <v>445</v>
      </c>
      <c r="G119" s="326" t="s">
        <v>445</v>
      </c>
      <c r="H119" s="326" t="s">
        <v>445</v>
      </c>
      <c r="I119" s="57"/>
    </row>
    <row r="120" spans="2:9" ht="18" x14ac:dyDescent="0.25">
      <c r="B120" s="30" t="s">
        <v>113</v>
      </c>
      <c r="C120" s="71" t="s">
        <v>102</v>
      </c>
      <c r="D120" s="31" t="s">
        <v>259</v>
      </c>
      <c r="E120" s="326" t="s">
        <v>445</v>
      </c>
      <c r="F120" s="326" t="s">
        <v>445</v>
      </c>
      <c r="G120" s="326" t="s">
        <v>445</v>
      </c>
      <c r="H120" s="326" t="s">
        <v>445</v>
      </c>
      <c r="I120" s="57"/>
    </row>
    <row r="121" spans="2:9" ht="18" x14ac:dyDescent="0.25">
      <c r="B121" s="30" t="s">
        <v>160</v>
      </c>
      <c r="C121" s="71" t="s">
        <v>102</v>
      </c>
      <c r="D121" s="31" t="s">
        <v>260</v>
      </c>
      <c r="E121" s="326" t="s">
        <v>445</v>
      </c>
      <c r="F121" s="326" t="s">
        <v>445</v>
      </c>
      <c r="G121" s="326" t="s">
        <v>445</v>
      </c>
      <c r="H121" s="326" t="s">
        <v>445</v>
      </c>
      <c r="I121" s="57"/>
    </row>
    <row r="122" spans="2:9" ht="18" x14ac:dyDescent="0.25">
      <c r="B122" s="30" t="s">
        <v>163</v>
      </c>
      <c r="C122" s="71" t="s">
        <v>102</v>
      </c>
      <c r="D122" s="31" t="s">
        <v>261</v>
      </c>
      <c r="E122" s="326" t="s">
        <v>445</v>
      </c>
      <c r="F122" s="326" t="s">
        <v>445</v>
      </c>
      <c r="G122" s="326" t="s">
        <v>445</v>
      </c>
      <c r="H122" s="326" t="s">
        <v>445</v>
      </c>
      <c r="I122" s="57"/>
    </row>
    <row r="123" spans="2:9" ht="18" x14ac:dyDescent="0.25">
      <c r="B123" s="30" t="s">
        <v>165</v>
      </c>
      <c r="C123" s="71" t="s">
        <v>102</v>
      </c>
      <c r="D123" s="31" t="s">
        <v>262</v>
      </c>
      <c r="E123" s="326" t="s">
        <v>445</v>
      </c>
      <c r="F123" s="326" t="s">
        <v>445</v>
      </c>
      <c r="G123" s="326" t="s">
        <v>445</v>
      </c>
      <c r="H123" s="326" t="s">
        <v>445</v>
      </c>
      <c r="I123" s="57"/>
    </row>
    <row r="124" spans="2:9" ht="18" x14ac:dyDescent="0.25">
      <c r="B124" s="30" t="s">
        <v>167</v>
      </c>
      <c r="C124" s="71" t="s">
        <v>102</v>
      </c>
      <c r="D124" s="31" t="s">
        <v>263</v>
      </c>
      <c r="E124" s="326" t="s">
        <v>445</v>
      </c>
      <c r="F124" s="326" t="s">
        <v>445</v>
      </c>
      <c r="G124" s="326" t="s">
        <v>445</v>
      </c>
      <c r="H124" s="326" t="s">
        <v>445</v>
      </c>
      <c r="I124" s="57"/>
    </row>
    <row r="125" spans="2:9" ht="18" x14ac:dyDescent="0.25">
      <c r="B125" s="30" t="s">
        <v>264</v>
      </c>
      <c r="C125" s="71" t="s">
        <v>102</v>
      </c>
      <c r="D125" s="31" t="s">
        <v>265</v>
      </c>
      <c r="E125" s="326" t="s">
        <v>445</v>
      </c>
      <c r="F125" s="326" t="s">
        <v>445</v>
      </c>
      <c r="G125" s="326" t="s">
        <v>445</v>
      </c>
      <c r="H125" s="326" t="s">
        <v>445</v>
      </c>
      <c r="I125" s="289"/>
    </row>
    <row r="126" spans="2:9" ht="18" x14ac:dyDescent="0.25">
      <c r="B126" s="30" t="s">
        <v>266</v>
      </c>
      <c r="C126" s="71" t="s">
        <v>102</v>
      </c>
      <c r="D126" s="31" t="s">
        <v>267</v>
      </c>
      <c r="E126" s="326" t="s">
        <v>445</v>
      </c>
      <c r="F126" s="326" t="s">
        <v>445</v>
      </c>
      <c r="G126" s="326" t="s">
        <v>445</v>
      </c>
      <c r="H126" s="326" t="s">
        <v>445</v>
      </c>
      <c r="I126" s="289"/>
    </row>
    <row r="127" spans="2:9" ht="18" x14ac:dyDescent="0.25">
      <c r="B127" s="30"/>
      <c r="C127" s="71"/>
      <c r="D127" s="28"/>
      <c r="E127" s="55"/>
      <c r="F127" s="55"/>
      <c r="G127" s="55"/>
      <c r="H127" s="54"/>
      <c r="I127" s="56"/>
    </row>
    <row r="128" spans="2:9" ht="18.75" thickBot="1" x14ac:dyDescent="0.3">
      <c r="B128" s="41"/>
      <c r="C128" s="72"/>
      <c r="D128" s="32"/>
      <c r="E128" s="326" t="s">
        <v>445</v>
      </c>
      <c r="F128" s="326" t="s">
        <v>445</v>
      </c>
      <c r="G128" s="326" t="s">
        <v>445</v>
      </c>
      <c r="H128" s="326" t="s">
        <v>445</v>
      </c>
      <c r="I128" s="48"/>
    </row>
    <row r="129" spans="2:12" ht="18.75" thickBot="1" x14ac:dyDescent="0.3">
      <c r="B129" s="8" t="s">
        <v>25</v>
      </c>
      <c r="C129" s="139"/>
      <c r="D129" s="251"/>
      <c r="E129" s="254"/>
      <c r="F129" s="254"/>
      <c r="G129" s="254"/>
      <c r="H129" s="255"/>
      <c r="I129" s="252"/>
    </row>
    <row r="130" spans="2:12" ht="18.75" thickBot="1" x14ac:dyDescent="0.3">
      <c r="B130" s="74" t="s">
        <v>268</v>
      </c>
      <c r="C130" s="152"/>
      <c r="D130" s="153"/>
      <c r="E130" s="154"/>
      <c r="F130" s="155"/>
      <c r="G130" s="155"/>
      <c r="H130" s="156"/>
      <c r="I130" s="157"/>
    </row>
    <row r="131" spans="2:12" ht="18" x14ac:dyDescent="0.25">
      <c r="B131" s="297" t="s">
        <v>269</v>
      </c>
      <c r="C131" s="169" t="s">
        <v>87</v>
      </c>
      <c r="D131" s="31" t="s">
        <v>270</v>
      </c>
      <c r="E131" s="326" t="s">
        <v>445</v>
      </c>
      <c r="F131" s="326" t="s">
        <v>445</v>
      </c>
      <c r="G131" s="326" t="s">
        <v>445</v>
      </c>
      <c r="H131" s="326" t="s">
        <v>445</v>
      </c>
      <c r="I131" s="57"/>
    </row>
    <row r="132" spans="2:12" ht="18" x14ac:dyDescent="0.25">
      <c r="B132" s="298" t="s">
        <v>43</v>
      </c>
      <c r="C132" s="169" t="s">
        <v>87</v>
      </c>
      <c r="D132" s="31"/>
      <c r="E132" s="55"/>
      <c r="F132" s="167"/>
      <c r="G132" s="55"/>
      <c r="H132" s="54"/>
      <c r="I132" s="57"/>
    </row>
    <row r="133" spans="2:12" ht="18" x14ac:dyDescent="0.25">
      <c r="B133" s="30" t="s">
        <v>271</v>
      </c>
      <c r="C133" s="71" t="s">
        <v>93</v>
      </c>
      <c r="D133" s="31"/>
      <c r="E133" s="55"/>
      <c r="F133" s="167"/>
      <c r="G133" s="55"/>
      <c r="H133" s="54"/>
      <c r="I133" s="57"/>
    </row>
    <row r="134" spans="2:12" ht="18" x14ac:dyDescent="0.25">
      <c r="B134" s="30" t="s">
        <v>99</v>
      </c>
      <c r="C134" s="71" t="s">
        <v>93</v>
      </c>
      <c r="D134" s="31"/>
      <c r="E134" s="55"/>
      <c r="F134" s="167"/>
      <c r="G134" s="55"/>
      <c r="H134" s="54"/>
      <c r="I134" s="57"/>
    </row>
    <row r="135" spans="2:12" ht="18" x14ac:dyDescent="0.25">
      <c r="B135" s="30" t="s">
        <v>197</v>
      </c>
      <c r="C135" s="71" t="s">
        <v>102</v>
      </c>
      <c r="D135" s="31" t="s">
        <v>272</v>
      </c>
      <c r="E135" s="326" t="s">
        <v>445</v>
      </c>
      <c r="F135" s="326" t="s">
        <v>445</v>
      </c>
      <c r="G135" s="326" t="s">
        <v>445</v>
      </c>
      <c r="H135" s="326" t="s">
        <v>445</v>
      </c>
      <c r="I135" s="57"/>
    </row>
    <row r="136" spans="2:12" ht="18" x14ac:dyDescent="0.25">
      <c r="B136" s="30" t="s">
        <v>199</v>
      </c>
      <c r="C136" s="71" t="s">
        <v>102</v>
      </c>
      <c r="D136" s="31" t="s">
        <v>273</v>
      </c>
      <c r="E136" s="326" t="s">
        <v>445</v>
      </c>
      <c r="F136" s="326" t="s">
        <v>445</v>
      </c>
      <c r="G136" s="326" t="s">
        <v>445</v>
      </c>
      <c r="H136" s="326" t="s">
        <v>445</v>
      </c>
      <c r="I136" s="57"/>
    </row>
    <row r="137" spans="2:12" ht="18" x14ac:dyDescent="0.25">
      <c r="B137" s="30" t="s">
        <v>104</v>
      </c>
      <c r="C137" s="71" t="s">
        <v>102</v>
      </c>
      <c r="D137" s="31" t="s">
        <v>274</v>
      </c>
      <c r="E137" s="326" t="s">
        <v>445</v>
      </c>
      <c r="F137" s="326" t="s">
        <v>445</v>
      </c>
      <c r="G137" s="326" t="s">
        <v>445</v>
      </c>
      <c r="H137" s="326" t="s">
        <v>445</v>
      </c>
      <c r="I137" s="57"/>
    </row>
    <row r="138" spans="2:12" ht="18" x14ac:dyDescent="0.25">
      <c r="B138" s="30" t="s">
        <v>106</v>
      </c>
      <c r="C138" s="71" t="s">
        <v>102</v>
      </c>
      <c r="D138" s="31"/>
      <c r="E138" s="55"/>
      <c r="F138" s="167"/>
      <c r="G138" s="55"/>
      <c r="H138" s="54"/>
      <c r="I138" s="57"/>
    </row>
    <row r="139" spans="2:12" ht="18" x14ac:dyDescent="0.25">
      <c r="B139" s="30" t="s">
        <v>108</v>
      </c>
      <c r="C139" s="71" t="s">
        <v>102</v>
      </c>
      <c r="D139" s="31"/>
      <c r="E139" s="55"/>
      <c r="F139" s="167"/>
      <c r="G139" s="55"/>
      <c r="H139" s="54"/>
      <c r="I139" s="57"/>
    </row>
    <row r="140" spans="2:12" ht="18" x14ac:dyDescent="0.25">
      <c r="B140" s="30" t="s">
        <v>111</v>
      </c>
      <c r="C140" s="71" t="s">
        <v>102</v>
      </c>
      <c r="D140" s="31"/>
      <c r="E140" s="55"/>
      <c r="F140" s="167"/>
      <c r="G140" s="55"/>
      <c r="H140" s="54"/>
      <c r="I140" s="57"/>
    </row>
    <row r="141" spans="2:12" ht="18" x14ac:dyDescent="0.25">
      <c r="B141" s="30" t="s">
        <v>113</v>
      </c>
      <c r="C141" s="71" t="s">
        <v>102</v>
      </c>
      <c r="D141" s="31" t="s">
        <v>275</v>
      </c>
      <c r="E141" s="326" t="s">
        <v>445</v>
      </c>
      <c r="F141" s="326" t="s">
        <v>445</v>
      </c>
      <c r="G141" s="326" t="s">
        <v>445</v>
      </c>
      <c r="H141" s="326" t="s">
        <v>445</v>
      </c>
      <c r="I141" s="57"/>
    </row>
    <row r="142" spans="2:12" ht="18" x14ac:dyDescent="0.25">
      <c r="B142" s="30" t="s">
        <v>160</v>
      </c>
      <c r="C142" s="71" t="s">
        <v>102</v>
      </c>
      <c r="D142" s="31" t="s">
        <v>276</v>
      </c>
      <c r="E142" s="326" t="s">
        <v>445</v>
      </c>
      <c r="F142" s="326" t="s">
        <v>445</v>
      </c>
      <c r="G142" s="326" t="s">
        <v>445</v>
      </c>
      <c r="H142" s="326" t="s">
        <v>445</v>
      </c>
      <c r="I142" s="57"/>
    </row>
    <row r="143" spans="2:12" ht="18" x14ac:dyDescent="0.25">
      <c r="B143" s="30" t="s">
        <v>163</v>
      </c>
      <c r="C143" s="71" t="s">
        <v>102</v>
      </c>
      <c r="D143" s="31" t="s">
        <v>277</v>
      </c>
      <c r="E143" s="326" t="s">
        <v>445</v>
      </c>
      <c r="F143" s="326" t="s">
        <v>445</v>
      </c>
      <c r="G143" s="326" t="s">
        <v>445</v>
      </c>
      <c r="H143" s="326" t="s">
        <v>445</v>
      </c>
      <c r="I143" s="57"/>
    </row>
    <row r="144" spans="2:12" ht="18" x14ac:dyDescent="0.25">
      <c r="B144" s="30" t="s">
        <v>237</v>
      </c>
      <c r="C144" s="71" t="s">
        <v>102</v>
      </c>
      <c r="D144" s="31"/>
      <c r="E144" s="55"/>
      <c r="F144" s="55"/>
      <c r="G144" s="55"/>
      <c r="H144" s="54"/>
      <c r="I144" s="57"/>
      <c r="L144" s="253"/>
    </row>
    <row r="145" spans="2:12" ht="18" x14ac:dyDescent="0.25">
      <c r="B145" s="30" t="s">
        <v>99</v>
      </c>
      <c r="C145" s="70" t="s">
        <v>195</v>
      </c>
      <c r="D145" s="31"/>
      <c r="E145" s="55"/>
      <c r="F145" s="55"/>
      <c r="G145" s="55"/>
      <c r="H145" s="54"/>
      <c r="I145" s="57"/>
    </row>
    <row r="146" spans="2:12" ht="18" x14ac:dyDescent="0.25">
      <c r="B146" s="30"/>
      <c r="C146" s="71"/>
      <c r="D146" s="28"/>
      <c r="E146" s="55"/>
      <c r="F146" s="55"/>
      <c r="G146" s="55"/>
      <c r="H146" s="54"/>
      <c r="I146" s="56"/>
    </row>
    <row r="147" spans="2:12" ht="18.75" thickBot="1" x14ac:dyDescent="0.3">
      <c r="B147" s="41"/>
      <c r="C147" s="72"/>
      <c r="D147" s="32"/>
      <c r="E147" s="326" t="s">
        <v>445</v>
      </c>
      <c r="F147" s="326" t="s">
        <v>445</v>
      </c>
      <c r="G147" s="326" t="s">
        <v>445</v>
      </c>
      <c r="H147" s="326" t="s">
        <v>445</v>
      </c>
      <c r="I147" s="48"/>
    </row>
    <row r="148" spans="2:12" ht="13.5" thickBot="1" x14ac:dyDescent="0.25">
      <c r="B148" s="8" t="s">
        <v>25</v>
      </c>
      <c r="C148" s="8"/>
      <c r="D148" s="3"/>
      <c r="E148" s="3"/>
      <c r="F148" s="3"/>
      <c r="G148" s="3"/>
      <c r="H148" s="3"/>
      <c r="I148" s="49"/>
    </row>
    <row r="149" spans="2:12" ht="18.75" thickBot="1" x14ac:dyDescent="0.3">
      <c r="B149" s="74" t="s">
        <v>278</v>
      </c>
      <c r="C149" s="152"/>
      <c r="D149" s="153"/>
      <c r="E149" s="154"/>
      <c r="F149" s="155"/>
      <c r="G149" s="155"/>
      <c r="H149" s="156"/>
      <c r="I149" s="157"/>
    </row>
    <row r="150" spans="2:12" ht="18" x14ac:dyDescent="0.25">
      <c r="B150" s="26" t="s">
        <v>279</v>
      </c>
      <c r="C150" s="169" t="s">
        <v>87</v>
      </c>
      <c r="D150" s="31" t="s">
        <v>280</v>
      </c>
      <c r="E150" s="326" t="s">
        <v>445</v>
      </c>
      <c r="F150" s="326" t="s">
        <v>445</v>
      </c>
      <c r="G150" s="326" t="s">
        <v>445</v>
      </c>
      <c r="H150" s="326" t="s">
        <v>445</v>
      </c>
      <c r="I150" s="57"/>
      <c r="K150" s="281"/>
      <c r="L150" s="307"/>
    </row>
    <row r="151" spans="2:12" ht="18" x14ac:dyDescent="0.25">
      <c r="B151" s="30" t="s">
        <v>123</v>
      </c>
      <c r="C151" s="169" t="s">
        <v>87</v>
      </c>
      <c r="D151" s="31" t="s">
        <v>280</v>
      </c>
      <c r="E151" s="326" t="s">
        <v>445</v>
      </c>
      <c r="F151" s="326" t="s">
        <v>445</v>
      </c>
      <c r="G151" s="326" t="s">
        <v>445</v>
      </c>
      <c r="H151" s="326" t="s">
        <v>445</v>
      </c>
      <c r="I151" s="57"/>
      <c r="K151" s="281"/>
      <c r="L151" s="307"/>
    </row>
    <row r="152" spans="2:12" ht="18" x14ac:dyDescent="0.25">
      <c r="B152" s="30" t="s">
        <v>125</v>
      </c>
      <c r="C152" s="169" t="s">
        <v>87</v>
      </c>
      <c r="D152" s="31" t="s">
        <v>281</v>
      </c>
      <c r="E152" s="326" t="s">
        <v>445</v>
      </c>
      <c r="F152" s="326" t="s">
        <v>445</v>
      </c>
      <c r="G152" s="326" t="s">
        <v>445</v>
      </c>
      <c r="H152" s="326" t="s">
        <v>445</v>
      </c>
      <c r="I152" s="57"/>
    </row>
    <row r="153" spans="2:12" ht="18" x14ac:dyDescent="0.25">
      <c r="B153" s="30" t="s">
        <v>271</v>
      </c>
      <c r="C153" s="71" t="s">
        <v>93</v>
      </c>
      <c r="D153" s="31"/>
      <c r="E153" s="55"/>
      <c r="F153" s="167"/>
      <c r="G153" s="55"/>
      <c r="H153" s="54"/>
      <c r="I153" s="57"/>
      <c r="L153" s="307"/>
    </row>
    <row r="154" spans="2:12" ht="18" x14ac:dyDescent="0.25">
      <c r="B154" s="30" t="s">
        <v>99</v>
      </c>
      <c r="C154" s="70" t="s">
        <v>241</v>
      </c>
      <c r="D154" s="31" t="s">
        <v>282</v>
      </c>
      <c r="E154" s="326" t="s">
        <v>445</v>
      </c>
      <c r="F154" s="326" t="s">
        <v>445</v>
      </c>
      <c r="G154" s="326" t="s">
        <v>445</v>
      </c>
      <c r="H154" s="326" t="s">
        <v>445</v>
      </c>
      <c r="I154" s="57"/>
      <c r="L154" s="307"/>
    </row>
    <row r="155" spans="2:12" ht="18" x14ac:dyDescent="0.25">
      <c r="B155" s="30" t="s">
        <v>101</v>
      </c>
      <c r="C155" s="71" t="s">
        <v>102</v>
      </c>
      <c r="D155" s="31" t="s">
        <v>283</v>
      </c>
      <c r="E155" s="326" t="s">
        <v>445</v>
      </c>
      <c r="F155" s="326" t="s">
        <v>445</v>
      </c>
      <c r="G155" s="326" t="s">
        <v>445</v>
      </c>
      <c r="H155" s="326" t="s">
        <v>445</v>
      </c>
      <c r="I155" s="57"/>
      <c r="L155" s="307"/>
    </row>
    <row r="156" spans="2:12" ht="18" x14ac:dyDescent="0.25">
      <c r="B156" s="30" t="s">
        <v>104</v>
      </c>
      <c r="C156" s="71" t="s">
        <v>102</v>
      </c>
      <c r="D156" s="31" t="s">
        <v>284</v>
      </c>
      <c r="E156" s="326" t="s">
        <v>445</v>
      </c>
      <c r="F156" s="326" t="s">
        <v>445</v>
      </c>
      <c r="G156" s="326" t="s">
        <v>445</v>
      </c>
      <c r="H156" s="326" t="s">
        <v>445</v>
      </c>
      <c r="I156" s="57"/>
    </row>
    <row r="157" spans="2:12" ht="18" x14ac:dyDescent="0.25">
      <c r="B157" s="30" t="s">
        <v>106</v>
      </c>
      <c r="C157" s="71" t="s">
        <v>102</v>
      </c>
      <c r="D157" s="31" t="s">
        <v>285</v>
      </c>
      <c r="E157" s="326" t="s">
        <v>445</v>
      </c>
      <c r="F157" s="326" t="s">
        <v>445</v>
      </c>
      <c r="G157" s="326" t="s">
        <v>445</v>
      </c>
      <c r="H157" s="326" t="s">
        <v>445</v>
      </c>
      <c r="I157" s="57"/>
    </row>
    <row r="158" spans="2:12" ht="18" x14ac:dyDescent="0.25">
      <c r="B158" s="30" t="s">
        <v>108</v>
      </c>
      <c r="C158" s="71" t="s">
        <v>102</v>
      </c>
      <c r="D158" s="31"/>
      <c r="E158" s="55"/>
      <c r="F158" s="167"/>
      <c r="G158" s="55"/>
      <c r="H158" s="54"/>
      <c r="I158" s="57"/>
    </row>
    <row r="159" spans="2:12" ht="18" x14ac:dyDescent="0.25">
      <c r="B159" s="30" t="s">
        <v>111</v>
      </c>
      <c r="C159" s="71" t="s">
        <v>102</v>
      </c>
      <c r="D159" s="31" t="s">
        <v>286</v>
      </c>
      <c r="E159" s="326" t="s">
        <v>445</v>
      </c>
      <c r="F159" s="326" t="s">
        <v>445</v>
      </c>
      <c r="G159" s="326" t="s">
        <v>445</v>
      </c>
      <c r="H159" s="326" t="s">
        <v>445</v>
      </c>
      <c r="I159" s="57"/>
    </row>
    <row r="160" spans="2:12" ht="18" x14ac:dyDescent="0.25">
      <c r="B160" s="30" t="s">
        <v>113</v>
      </c>
      <c r="C160" s="71" t="s">
        <v>102</v>
      </c>
      <c r="D160" s="31" t="s">
        <v>287</v>
      </c>
      <c r="E160" s="326" t="s">
        <v>445</v>
      </c>
      <c r="F160" s="326" t="s">
        <v>445</v>
      </c>
      <c r="G160" s="326" t="s">
        <v>445</v>
      </c>
      <c r="H160" s="326" t="s">
        <v>445</v>
      </c>
      <c r="I160" s="151" t="s">
        <v>162</v>
      </c>
    </row>
    <row r="161" spans="2:11" ht="18" x14ac:dyDescent="0.25">
      <c r="B161" s="30" t="s">
        <v>160</v>
      </c>
      <c r="C161" s="71" t="s">
        <v>102</v>
      </c>
      <c r="D161" s="31" t="s">
        <v>288</v>
      </c>
      <c r="E161" s="326" t="s">
        <v>445</v>
      </c>
      <c r="F161" s="326" t="s">
        <v>445</v>
      </c>
      <c r="G161" s="326" t="s">
        <v>445</v>
      </c>
      <c r="H161" s="326" t="s">
        <v>445</v>
      </c>
      <c r="I161" s="57"/>
      <c r="K161" s="253"/>
    </row>
    <row r="162" spans="2:11" ht="18" x14ac:dyDescent="0.25">
      <c r="B162" s="30" t="s">
        <v>163</v>
      </c>
      <c r="C162" s="71" t="s">
        <v>102</v>
      </c>
      <c r="D162" s="31" t="s">
        <v>289</v>
      </c>
      <c r="E162" s="326" t="s">
        <v>445</v>
      </c>
      <c r="F162" s="326" t="s">
        <v>445</v>
      </c>
      <c r="G162" s="326" t="s">
        <v>445</v>
      </c>
      <c r="H162" s="326" t="s">
        <v>445</v>
      </c>
      <c r="I162" s="57"/>
    </row>
    <row r="163" spans="2:11" ht="18" x14ac:dyDescent="0.25">
      <c r="B163" s="30" t="s">
        <v>237</v>
      </c>
      <c r="C163" s="71" t="s">
        <v>102</v>
      </c>
      <c r="D163" s="31"/>
      <c r="E163" s="55"/>
      <c r="F163" s="55"/>
      <c r="G163" s="55"/>
      <c r="H163" s="54"/>
      <c r="I163" s="57"/>
    </row>
    <row r="164" spans="2:11" ht="18" x14ac:dyDescent="0.25">
      <c r="B164" s="30"/>
      <c r="C164" s="71"/>
      <c r="D164" s="28"/>
      <c r="E164" s="55"/>
      <c r="F164" s="55"/>
      <c r="G164" s="55"/>
      <c r="H164" s="54"/>
      <c r="I164" s="56"/>
    </row>
    <row r="165" spans="2:11" ht="18.75" thickBot="1" x14ac:dyDescent="0.3">
      <c r="B165" s="41"/>
      <c r="C165" s="72"/>
      <c r="D165" s="32"/>
      <c r="E165" s="326" t="s">
        <v>445</v>
      </c>
      <c r="F165" s="326" t="s">
        <v>445</v>
      </c>
      <c r="G165" s="326" t="s">
        <v>445</v>
      </c>
      <c r="H165" s="326" t="s">
        <v>445</v>
      </c>
      <c r="I165" s="48"/>
    </row>
    <row r="166" spans="2:11" x14ac:dyDescent="0.2">
      <c r="B166" s="8" t="s">
        <v>25</v>
      </c>
      <c r="C166" s="8"/>
      <c r="D166" s="3"/>
      <c r="E166" s="3"/>
      <c r="F166" s="3"/>
      <c r="G166" s="3"/>
      <c r="H166" s="3"/>
      <c r="I166" s="49"/>
    </row>
    <row r="167" spans="2:11" x14ac:dyDescent="0.2">
      <c r="B167" s="5"/>
      <c r="C167" s="5"/>
      <c r="D167" s="3"/>
      <c r="E167" s="3"/>
      <c r="F167" s="3"/>
      <c r="G167" s="3"/>
      <c r="H167" s="3"/>
      <c r="I167" s="49"/>
    </row>
    <row r="168" spans="2:11" ht="23.25" x14ac:dyDescent="0.3">
      <c r="B168" s="120" t="s">
        <v>290</v>
      </c>
      <c r="C168" s="64"/>
      <c r="D168" s="64"/>
      <c r="E168" s="64"/>
      <c r="F168" s="64"/>
      <c r="G168" s="64"/>
      <c r="H168" s="64"/>
      <c r="I168" s="64"/>
    </row>
    <row r="169" spans="2:11" ht="23.25" x14ac:dyDescent="0.3">
      <c r="B169" s="120" t="s">
        <v>291</v>
      </c>
      <c r="C169" s="64"/>
      <c r="D169" s="64"/>
      <c r="E169" s="64"/>
      <c r="F169" s="64"/>
      <c r="G169" s="64"/>
      <c r="H169" s="64"/>
      <c r="I169" s="64"/>
    </row>
    <row r="170" spans="2:11" ht="23.25" x14ac:dyDescent="0.3">
      <c r="B170" s="120" t="s">
        <v>292</v>
      </c>
      <c r="C170" s="64"/>
      <c r="D170" s="64"/>
      <c r="E170" s="64"/>
      <c r="F170" s="64"/>
      <c r="G170" s="64"/>
      <c r="H170" s="64"/>
      <c r="I170" s="64"/>
    </row>
    <row r="171" spans="2:11" ht="23.25" x14ac:dyDescent="0.3">
      <c r="B171" s="120" t="s">
        <v>293</v>
      </c>
      <c r="C171" s="64"/>
      <c r="D171" s="64"/>
      <c r="E171" s="64"/>
      <c r="F171" s="64"/>
      <c r="G171" s="64"/>
      <c r="H171" s="64"/>
      <c r="I171" s="64"/>
    </row>
    <row r="172" spans="2:11" ht="18" x14ac:dyDescent="0.2">
      <c r="B172" s="33"/>
      <c r="C172" s="33"/>
      <c r="D172" s="34"/>
      <c r="E172" s="34"/>
      <c r="F172" s="34"/>
      <c r="G172" s="34"/>
      <c r="H172" s="34"/>
      <c r="I172" s="34"/>
    </row>
    <row r="173" spans="2:11" ht="13.5" thickBot="1" x14ac:dyDescent="0.25"/>
    <row r="174" spans="2:11" ht="18.75" thickBot="1" x14ac:dyDescent="0.3">
      <c r="B174" s="116" t="s">
        <v>294</v>
      </c>
      <c r="C174" s="114"/>
      <c r="D174" s="114"/>
      <c r="E174" s="114"/>
      <c r="F174" s="114"/>
      <c r="G174" s="114"/>
      <c r="H174" s="114"/>
      <c r="I174" s="115"/>
    </row>
    <row r="175" spans="2:11" ht="40.5" customHeight="1" x14ac:dyDescent="0.2">
      <c r="B175" s="177" t="s">
        <v>27</v>
      </c>
      <c r="C175" s="404" t="s">
        <v>295</v>
      </c>
      <c r="D175" s="404"/>
      <c r="E175" s="404"/>
      <c r="F175" s="404"/>
      <c r="G175" s="404"/>
      <c r="H175" s="404"/>
      <c r="I175" s="405"/>
    </row>
    <row r="176" spans="2:11" ht="40.5" customHeight="1" x14ac:dyDescent="0.2">
      <c r="B176" s="178" t="s">
        <v>28</v>
      </c>
      <c r="C176" s="394" t="s">
        <v>296</v>
      </c>
      <c r="D176" s="395"/>
      <c r="E176" s="395"/>
      <c r="F176" s="395"/>
      <c r="G176" s="395"/>
      <c r="H176" s="395"/>
      <c r="I176" s="396"/>
    </row>
    <row r="177" spans="2:9" ht="40.5" customHeight="1" x14ac:dyDescent="0.2">
      <c r="B177" s="178" t="s">
        <v>29</v>
      </c>
      <c r="C177" s="394" t="s">
        <v>297</v>
      </c>
      <c r="D177" s="395"/>
      <c r="E177" s="395"/>
      <c r="F177" s="395"/>
      <c r="G177" s="395"/>
      <c r="H177" s="395"/>
      <c r="I177" s="396"/>
    </row>
    <row r="178" spans="2:9" ht="18" x14ac:dyDescent="0.2">
      <c r="B178" s="178" t="s">
        <v>45</v>
      </c>
      <c r="C178" s="394" t="s">
        <v>298</v>
      </c>
      <c r="D178" s="395"/>
      <c r="E178" s="395"/>
      <c r="F178" s="395"/>
      <c r="G178" s="395"/>
      <c r="H178" s="395"/>
      <c r="I178" s="396"/>
    </row>
    <row r="179" spans="2:9" ht="18" x14ac:dyDescent="0.2">
      <c r="B179" s="178" t="s">
        <v>299</v>
      </c>
      <c r="C179" s="394" t="s">
        <v>300</v>
      </c>
      <c r="D179" s="395"/>
      <c r="E179" s="395"/>
      <c r="F179" s="395"/>
      <c r="G179" s="395"/>
      <c r="H179" s="395"/>
      <c r="I179" s="396"/>
    </row>
    <row r="180" spans="2:9" ht="18" x14ac:dyDescent="0.2">
      <c r="B180" s="178" t="s">
        <v>301</v>
      </c>
      <c r="C180" s="394" t="s">
        <v>302</v>
      </c>
      <c r="D180" s="395"/>
      <c r="E180" s="395"/>
      <c r="F180" s="395"/>
      <c r="G180" s="395"/>
      <c r="H180" s="395"/>
      <c r="I180" s="396"/>
    </row>
    <row r="181" spans="2:9" ht="18" x14ac:dyDescent="0.2">
      <c r="B181" s="178" t="s">
        <v>303</v>
      </c>
      <c r="C181" s="394" t="s">
        <v>304</v>
      </c>
      <c r="D181" s="395"/>
      <c r="E181" s="395"/>
      <c r="F181" s="395"/>
      <c r="G181" s="395"/>
      <c r="H181" s="395"/>
      <c r="I181" s="396"/>
    </row>
    <row r="182" spans="2:9" ht="18" x14ac:dyDescent="0.2">
      <c r="B182" s="178" t="s">
        <v>174</v>
      </c>
      <c r="C182" s="394" t="s">
        <v>305</v>
      </c>
      <c r="D182" s="395"/>
      <c r="E182" s="395"/>
      <c r="F182" s="395"/>
      <c r="G182" s="395"/>
      <c r="H182" s="395"/>
      <c r="I182" s="396"/>
    </row>
    <row r="183" spans="2:9" ht="18" customHeight="1" x14ac:dyDescent="0.2">
      <c r="B183" s="178" t="s">
        <v>306</v>
      </c>
      <c r="C183" s="394" t="s">
        <v>307</v>
      </c>
      <c r="D183" s="395"/>
      <c r="E183" s="395"/>
      <c r="F183" s="395"/>
      <c r="G183" s="395"/>
      <c r="H183" s="395"/>
      <c r="I183" s="396"/>
    </row>
    <row r="184" spans="2:9" ht="18" x14ac:dyDescent="0.2">
      <c r="B184" s="178" t="s">
        <v>308</v>
      </c>
      <c r="C184" s="394" t="s">
        <v>309</v>
      </c>
      <c r="D184" s="395"/>
      <c r="E184" s="395"/>
      <c r="F184" s="395"/>
      <c r="G184" s="395"/>
      <c r="H184" s="395"/>
      <c r="I184" s="396"/>
    </row>
    <row r="185" spans="2:9" ht="18" x14ac:dyDescent="0.2">
      <c r="B185" s="178" t="s">
        <v>170</v>
      </c>
      <c r="C185" s="394" t="s">
        <v>310</v>
      </c>
      <c r="D185" s="395"/>
      <c r="E185" s="395"/>
      <c r="F185" s="395"/>
      <c r="G185" s="395"/>
      <c r="H185" s="395"/>
      <c r="I185" s="396"/>
    </row>
    <row r="186" spans="2:9" ht="18" x14ac:dyDescent="0.2">
      <c r="B186" s="178" t="s">
        <v>159</v>
      </c>
      <c r="C186" s="394" t="s">
        <v>311</v>
      </c>
      <c r="D186" s="395"/>
      <c r="E186" s="395"/>
      <c r="F186" s="395"/>
      <c r="G186" s="395"/>
      <c r="H186" s="395"/>
      <c r="I186" s="396"/>
    </row>
    <row r="187" spans="2:9" ht="18" x14ac:dyDescent="0.2">
      <c r="B187" s="178" t="s">
        <v>177</v>
      </c>
      <c r="C187" s="394" t="s">
        <v>312</v>
      </c>
      <c r="D187" s="395"/>
      <c r="E187" s="395"/>
      <c r="F187" s="395"/>
      <c r="G187" s="395"/>
      <c r="H187" s="395"/>
      <c r="I187" s="396"/>
    </row>
    <row r="188" spans="2:9" ht="18" x14ac:dyDescent="0.2">
      <c r="B188" s="273" t="s">
        <v>145</v>
      </c>
      <c r="C188" s="274" t="s">
        <v>313</v>
      </c>
      <c r="D188" s="275"/>
      <c r="E188" s="275"/>
      <c r="F188" s="275"/>
      <c r="G188" s="275"/>
      <c r="H188" s="275"/>
      <c r="I188" s="276"/>
    </row>
    <row r="189" spans="2:9" ht="18" x14ac:dyDescent="0.2">
      <c r="B189" s="178" t="s">
        <v>162</v>
      </c>
      <c r="C189" s="279" t="s">
        <v>314</v>
      </c>
      <c r="D189" s="275"/>
      <c r="E189" s="275"/>
      <c r="F189" s="275"/>
      <c r="G189" s="275"/>
      <c r="H189" s="275"/>
      <c r="I189" s="276"/>
    </row>
    <row r="190" spans="2:9" ht="18" x14ac:dyDescent="0.2">
      <c r="B190" s="314" t="s">
        <v>315</v>
      </c>
      <c r="C190" s="279" t="s">
        <v>57</v>
      </c>
      <c r="D190" s="275"/>
      <c r="E190" s="275"/>
      <c r="F190" s="275"/>
      <c r="G190" s="275"/>
      <c r="H190" s="275"/>
      <c r="I190" s="276"/>
    </row>
    <row r="191" spans="2:9" ht="18" x14ac:dyDescent="0.2">
      <c r="B191" s="314" t="s">
        <v>137</v>
      </c>
      <c r="C191" s="279" t="s">
        <v>316</v>
      </c>
      <c r="D191" s="275"/>
      <c r="E191" s="275"/>
      <c r="F191" s="275"/>
      <c r="G191" s="275"/>
      <c r="H191" s="275"/>
      <c r="I191" s="276"/>
    </row>
    <row r="192" spans="2:9" ht="18" x14ac:dyDescent="0.2">
      <c r="B192" s="314"/>
      <c r="C192" s="279"/>
      <c r="D192" s="275"/>
      <c r="E192" s="275"/>
      <c r="F192" s="275"/>
      <c r="G192" s="275"/>
      <c r="H192" s="275"/>
      <c r="I192" s="276"/>
    </row>
    <row r="193" spans="2:9" ht="18.75" thickBot="1" x14ac:dyDescent="0.25">
      <c r="B193" s="280"/>
      <c r="C193" s="397"/>
      <c r="D193" s="398"/>
      <c r="E193" s="398"/>
      <c r="F193" s="398"/>
      <c r="G193" s="398"/>
      <c r="H193" s="398"/>
      <c r="I193" s="399"/>
    </row>
    <row r="194" spans="2:9" ht="18" x14ac:dyDescent="0.2">
      <c r="B194" s="271"/>
      <c r="C194" s="272"/>
      <c r="D194" s="272"/>
      <c r="E194" s="272"/>
      <c r="F194" s="272"/>
      <c r="G194" s="272"/>
      <c r="H194" s="272"/>
      <c r="I194" s="272"/>
    </row>
    <row r="195" spans="2:9" ht="18" x14ac:dyDescent="0.2">
      <c r="B195" s="271"/>
      <c r="C195" s="272"/>
      <c r="D195" s="272"/>
      <c r="E195" s="272"/>
      <c r="F195" s="272"/>
      <c r="G195" s="272"/>
      <c r="H195" s="272"/>
      <c r="I195" s="272"/>
    </row>
    <row r="196" spans="2:9" ht="18" x14ac:dyDescent="0.2">
      <c r="B196" s="271"/>
      <c r="C196" s="272"/>
      <c r="D196" s="272"/>
      <c r="E196" s="272"/>
      <c r="F196" s="272"/>
      <c r="G196" s="272"/>
      <c r="H196" s="272"/>
      <c r="I196" s="272"/>
    </row>
    <row r="197" spans="2:9" ht="18" x14ac:dyDescent="0.2">
      <c r="B197" s="271"/>
      <c r="C197" s="272"/>
      <c r="D197" s="272"/>
      <c r="E197" s="272"/>
      <c r="F197" s="272"/>
      <c r="G197" s="272"/>
      <c r="H197" s="272"/>
      <c r="I197" s="272"/>
    </row>
  </sheetData>
  <sortState xmlns:xlrd2="http://schemas.microsoft.com/office/spreadsheetml/2017/richdata2" ref="B7:F18">
    <sortCondition descending="1" ref="F7:F18"/>
  </sortState>
  <mergeCells count="18">
    <mergeCell ref="C178:I178"/>
    <mergeCell ref="C179:I179"/>
    <mergeCell ref="C183:I183"/>
    <mergeCell ref="C180:I180"/>
    <mergeCell ref="C181:I181"/>
    <mergeCell ref="C182:I182"/>
    <mergeCell ref="B1:I1"/>
    <mergeCell ref="B2:I2"/>
    <mergeCell ref="B3:I3"/>
    <mergeCell ref="B4:H4"/>
    <mergeCell ref="C177:I177"/>
    <mergeCell ref="C175:I175"/>
    <mergeCell ref="C176:I176"/>
    <mergeCell ref="C187:I187"/>
    <mergeCell ref="C193:I193"/>
    <mergeCell ref="C184:I184"/>
    <mergeCell ref="C185:I185"/>
    <mergeCell ref="C186:I186"/>
  </mergeCells>
  <phoneticPr fontId="64" type="noConversion"/>
  <printOptions horizontalCentered="1"/>
  <pageMargins left="0.67" right="0.65" top="0.78" bottom="0.75" header="0.52" footer="0.3"/>
  <pageSetup scale="31" orientation="landscape" r:id="rId1"/>
  <headerFooter alignWithMargins="0">
    <oddHeader>&amp;C&amp;"Arial,Bold"&amp;12PUBLIC DISCLOSURE&amp;R&amp;F</oddHeader>
  </headerFooter>
  <rowBreaks count="3" manualBreakCount="3">
    <brk id="53" max="16383" man="1"/>
    <brk id="84" max="16383" man="1"/>
    <brk id="12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J157"/>
  <sheetViews>
    <sheetView view="pageLayout" topLeftCell="A128" zoomScaleNormal="90" workbookViewId="0">
      <selection activeCell="D8" sqref="D8:D18"/>
    </sheetView>
  </sheetViews>
  <sheetFormatPr defaultRowHeight="12.75" x14ac:dyDescent="0.2"/>
  <cols>
    <col min="1" max="1" width="7.5703125" customWidth="1"/>
    <col min="2" max="2" width="35.42578125" bestFit="1" customWidth="1"/>
    <col min="3" max="3" width="118.42578125" bestFit="1" customWidth="1"/>
    <col min="4" max="4" width="24.5703125" customWidth="1"/>
    <col min="5" max="5" width="18.42578125" customWidth="1"/>
    <col min="6" max="7" width="8.5703125" customWidth="1"/>
    <col min="8" max="8" width="13.28515625" bestFit="1" customWidth="1"/>
  </cols>
  <sheetData>
    <row r="1" spans="2:6" ht="18" x14ac:dyDescent="0.2">
      <c r="B1" s="407" t="s">
        <v>444</v>
      </c>
      <c r="C1" s="407"/>
      <c r="D1" s="407"/>
      <c r="E1" s="407"/>
      <c r="F1" s="39"/>
    </row>
    <row r="2" spans="2:6" ht="18" x14ac:dyDescent="0.2">
      <c r="B2" s="407" t="s">
        <v>317</v>
      </c>
      <c r="C2" s="407"/>
      <c r="D2" s="407"/>
      <c r="E2" s="407"/>
      <c r="F2" s="166"/>
    </row>
    <row r="3" spans="2:6" ht="18" x14ac:dyDescent="0.2">
      <c r="B3" s="408" t="s">
        <v>1</v>
      </c>
      <c r="C3" s="407"/>
      <c r="D3" s="407"/>
      <c r="E3" s="407"/>
      <c r="F3" s="166"/>
    </row>
    <row r="4" spans="2:6" ht="18" x14ac:dyDescent="0.2">
      <c r="B4" s="407" t="s">
        <v>318</v>
      </c>
      <c r="C4" s="407"/>
      <c r="D4" s="407"/>
      <c r="E4" s="407"/>
      <c r="F4" s="40"/>
    </row>
    <row r="5" spans="2:6" ht="15.75" x14ac:dyDescent="0.2">
      <c r="B5" s="47"/>
      <c r="C5" s="47"/>
      <c r="D5" s="47"/>
      <c r="E5" s="47"/>
      <c r="F5" s="40"/>
    </row>
    <row r="6" spans="2:6" ht="23.25" x14ac:dyDescent="0.35">
      <c r="B6" s="406" t="s">
        <v>86</v>
      </c>
      <c r="C6" s="406"/>
      <c r="D6" s="406"/>
      <c r="E6" s="406"/>
      <c r="F6" s="40"/>
    </row>
    <row r="7" spans="2:6" ht="37.5" x14ac:dyDescent="0.2">
      <c r="B7" s="128" t="s">
        <v>319</v>
      </c>
      <c r="C7" s="129" t="s">
        <v>320</v>
      </c>
      <c r="D7" s="141" t="s">
        <v>321</v>
      </c>
      <c r="E7" s="128" t="s">
        <v>322</v>
      </c>
      <c r="F7" s="176"/>
    </row>
    <row r="8" spans="2:6" ht="18" x14ac:dyDescent="0.2">
      <c r="B8" s="143">
        <v>43860</v>
      </c>
      <c r="C8" s="145" t="s">
        <v>323</v>
      </c>
      <c r="D8" s="327" t="s">
        <v>445</v>
      </c>
      <c r="E8" s="143">
        <v>43964</v>
      </c>
    </row>
    <row r="9" spans="2:6" ht="18" x14ac:dyDescent="0.2">
      <c r="B9" s="142">
        <v>43860</v>
      </c>
      <c r="C9" s="146" t="s">
        <v>324</v>
      </c>
      <c r="D9" s="327" t="s">
        <v>445</v>
      </c>
      <c r="E9" s="142">
        <v>43964</v>
      </c>
    </row>
    <row r="10" spans="2:6" ht="18" x14ac:dyDescent="0.2">
      <c r="B10" s="142">
        <v>43965</v>
      </c>
      <c r="C10" s="147" t="s">
        <v>325</v>
      </c>
      <c r="D10" s="327" t="s">
        <v>445</v>
      </c>
      <c r="E10" s="142">
        <v>43965</v>
      </c>
    </row>
    <row r="11" spans="2:6" ht="18" x14ac:dyDescent="0.2">
      <c r="B11" s="143">
        <v>43965</v>
      </c>
      <c r="C11" s="145" t="s">
        <v>326</v>
      </c>
      <c r="D11" s="327" t="s">
        <v>445</v>
      </c>
      <c r="E11" s="143">
        <v>43969</v>
      </c>
    </row>
    <row r="12" spans="2:6" ht="18" x14ac:dyDescent="0.2">
      <c r="B12" s="143">
        <v>44005</v>
      </c>
      <c r="C12" s="145" t="s">
        <v>327</v>
      </c>
      <c r="D12" s="327" t="s">
        <v>445</v>
      </c>
      <c r="E12" s="143">
        <v>44035</v>
      </c>
    </row>
    <row r="13" spans="2:6" ht="18" x14ac:dyDescent="0.2">
      <c r="B13" s="143">
        <v>44123</v>
      </c>
      <c r="C13" s="148" t="s">
        <v>328</v>
      </c>
      <c r="D13" s="327" t="s">
        <v>445</v>
      </c>
      <c r="E13" s="143">
        <v>44123</v>
      </c>
    </row>
    <row r="14" spans="2:6" ht="18" x14ac:dyDescent="0.2">
      <c r="B14" s="143">
        <v>44145</v>
      </c>
      <c r="C14" s="148" t="s">
        <v>329</v>
      </c>
      <c r="D14" s="327" t="s">
        <v>445</v>
      </c>
      <c r="E14" s="143">
        <v>44159</v>
      </c>
    </row>
    <row r="15" spans="2:6" ht="18" x14ac:dyDescent="0.2">
      <c r="B15" s="143">
        <v>44159</v>
      </c>
      <c r="C15" s="145" t="s">
        <v>330</v>
      </c>
      <c r="D15" s="327" t="s">
        <v>445</v>
      </c>
      <c r="E15" s="143">
        <v>44159</v>
      </c>
    </row>
    <row r="16" spans="2:6" ht="18" x14ac:dyDescent="0.25">
      <c r="B16" s="198">
        <v>44284</v>
      </c>
      <c r="C16" s="196" t="s">
        <v>331</v>
      </c>
      <c r="D16" s="327" t="s">
        <v>445</v>
      </c>
      <c r="E16" s="198">
        <v>44298</v>
      </c>
    </row>
    <row r="17" spans="2:5" ht="18" x14ac:dyDescent="0.25">
      <c r="B17" s="212">
        <v>44448</v>
      </c>
      <c r="C17" s="196" t="s">
        <v>332</v>
      </c>
      <c r="D17" s="327" t="s">
        <v>445</v>
      </c>
      <c r="E17" s="212">
        <v>44448</v>
      </c>
    </row>
    <row r="18" spans="2:5" ht="18" x14ac:dyDescent="0.25">
      <c r="B18" s="212">
        <v>44448</v>
      </c>
      <c r="C18" s="196" t="s">
        <v>333</v>
      </c>
      <c r="D18" s="327" t="s">
        <v>445</v>
      </c>
      <c r="E18" s="212">
        <v>44477</v>
      </c>
    </row>
    <row r="19" spans="2:5" ht="18" x14ac:dyDescent="0.2">
      <c r="B19" s="197"/>
      <c r="C19" s="203" t="s">
        <v>334</v>
      </c>
      <c r="D19" s="211">
        <v>936</v>
      </c>
      <c r="E19" s="197" t="s">
        <v>194</v>
      </c>
    </row>
    <row r="20" spans="2:5" ht="18" x14ac:dyDescent="0.2">
      <c r="B20" s="143"/>
      <c r="C20" s="144" t="s">
        <v>335</v>
      </c>
      <c r="D20" s="149">
        <v>6156.8878999999988</v>
      </c>
      <c r="E20" s="143"/>
    </row>
    <row r="21" spans="2:5" ht="23.25" x14ac:dyDescent="0.35">
      <c r="B21" s="406" t="s">
        <v>119</v>
      </c>
      <c r="C21" s="406"/>
      <c r="D21" s="406"/>
      <c r="E21" s="406"/>
    </row>
    <row r="22" spans="2:5" ht="37.5" x14ac:dyDescent="0.2">
      <c r="B22" s="128" t="s">
        <v>319</v>
      </c>
      <c r="C22" s="129" t="s">
        <v>320</v>
      </c>
      <c r="D22" s="130" t="s">
        <v>321</v>
      </c>
      <c r="E22" s="128" t="s">
        <v>322</v>
      </c>
    </row>
    <row r="23" spans="2:5" ht="18" x14ac:dyDescent="0.2">
      <c r="B23" s="143">
        <v>44483</v>
      </c>
      <c r="C23" s="296" t="s">
        <v>336</v>
      </c>
      <c r="D23" s="327" t="s">
        <v>445</v>
      </c>
      <c r="E23" s="143">
        <v>44530</v>
      </c>
    </row>
    <row r="24" spans="2:5" ht="18" x14ac:dyDescent="0.2">
      <c r="B24" s="142">
        <v>44644</v>
      </c>
      <c r="C24" s="147" t="s">
        <v>337</v>
      </c>
      <c r="D24" s="327" t="s">
        <v>445</v>
      </c>
      <c r="E24" s="142">
        <v>44644</v>
      </c>
    </row>
    <row r="25" spans="2:5" ht="18" x14ac:dyDescent="0.2">
      <c r="B25" s="142">
        <v>44644</v>
      </c>
      <c r="C25" s="146" t="s">
        <v>338</v>
      </c>
      <c r="D25" s="327" t="s">
        <v>445</v>
      </c>
      <c r="E25" s="142">
        <v>44644</v>
      </c>
    </row>
    <row r="26" spans="2:5" ht="18" x14ac:dyDescent="0.2">
      <c r="B26" s="142">
        <v>44637</v>
      </c>
      <c r="C26" s="146" t="s">
        <v>339</v>
      </c>
      <c r="D26" s="327" t="s">
        <v>445</v>
      </c>
      <c r="E26" s="142">
        <v>44833</v>
      </c>
    </row>
    <row r="27" spans="2:5" ht="18" x14ac:dyDescent="0.2">
      <c r="B27" s="142">
        <v>44750</v>
      </c>
      <c r="C27" s="146" t="s">
        <v>340</v>
      </c>
      <c r="D27" s="327" t="s">
        <v>445</v>
      </c>
      <c r="E27" s="142">
        <v>44833</v>
      </c>
    </row>
    <row r="28" spans="2:5" ht="18" x14ac:dyDescent="0.2">
      <c r="B28" s="142">
        <v>44886</v>
      </c>
      <c r="C28" s="146" t="s">
        <v>341</v>
      </c>
      <c r="D28" s="327" t="s">
        <v>445</v>
      </c>
      <c r="E28" s="142">
        <v>44886</v>
      </c>
    </row>
    <row r="29" spans="2:5" ht="18" x14ac:dyDescent="0.2">
      <c r="B29" s="142">
        <v>44951</v>
      </c>
      <c r="C29" s="146" t="s">
        <v>342</v>
      </c>
      <c r="D29" s="327" t="s">
        <v>445</v>
      </c>
      <c r="E29" s="142">
        <v>45106</v>
      </c>
    </row>
    <row r="30" spans="2:5" ht="18" x14ac:dyDescent="0.2">
      <c r="B30" s="142">
        <v>45000</v>
      </c>
      <c r="C30" s="146" t="s">
        <v>343</v>
      </c>
      <c r="D30" s="327" t="s">
        <v>445</v>
      </c>
      <c r="E30" s="142">
        <v>45106</v>
      </c>
    </row>
    <row r="31" spans="2:5" ht="18" x14ac:dyDescent="0.2">
      <c r="B31" s="142">
        <v>45016</v>
      </c>
      <c r="C31" s="146" t="s">
        <v>344</v>
      </c>
      <c r="D31" s="327" t="s">
        <v>445</v>
      </c>
      <c r="E31" s="142">
        <v>45106</v>
      </c>
    </row>
    <row r="32" spans="2:5" ht="18" x14ac:dyDescent="0.2">
      <c r="B32" s="142">
        <v>45072</v>
      </c>
      <c r="C32" s="146" t="s">
        <v>345</v>
      </c>
      <c r="D32" s="327" t="s">
        <v>445</v>
      </c>
      <c r="E32" s="142">
        <v>45163</v>
      </c>
    </row>
    <row r="33" spans="2:10" ht="18" x14ac:dyDescent="0.2">
      <c r="B33" s="142">
        <v>45467</v>
      </c>
      <c r="C33" s="146" t="s">
        <v>346</v>
      </c>
      <c r="D33" s="327" t="s">
        <v>445</v>
      </c>
      <c r="E33" s="142">
        <v>45468</v>
      </c>
    </row>
    <row r="34" spans="2:10" ht="18" x14ac:dyDescent="0.2">
      <c r="B34" s="142">
        <v>45972</v>
      </c>
      <c r="C34" s="146" t="s">
        <v>347</v>
      </c>
      <c r="D34" s="327" t="s">
        <v>445</v>
      </c>
      <c r="E34" s="142">
        <v>45679</v>
      </c>
    </row>
    <row r="35" spans="2:10" ht="18" x14ac:dyDescent="0.2">
      <c r="B35" s="142">
        <v>45779</v>
      </c>
      <c r="C35" s="146" t="s">
        <v>348</v>
      </c>
      <c r="D35" s="327" t="s">
        <v>445</v>
      </c>
      <c r="E35" s="142">
        <v>45831</v>
      </c>
    </row>
    <row r="36" spans="2:10" ht="18" x14ac:dyDescent="0.2">
      <c r="B36" s="210"/>
      <c r="C36" s="210" t="s">
        <v>349</v>
      </c>
      <c r="D36" s="210">
        <v>637</v>
      </c>
      <c r="E36" s="210" t="s">
        <v>194</v>
      </c>
    </row>
    <row r="37" spans="2:10" ht="17.100000000000001" customHeight="1" x14ac:dyDescent="0.2">
      <c r="B37" s="143"/>
      <c r="C37" s="144" t="s">
        <v>335</v>
      </c>
      <c r="D37" s="210">
        <v>5836.8680000000004</v>
      </c>
      <c r="E37" s="143"/>
    </row>
    <row r="38" spans="2:10" ht="23.25" x14ac:dyDescent="0.35">
      <c r="B38" s="406" t="s">
        <v>350</v>
      </c>
      <c r="C38" s="406"/>
      <c r="D38" s="406"/>
      <c r="E38" s="406"/>
    </row>
    <row r="39" spans="2:10" ht="37.5" x14ac:dyDescent="0.2">
      <c r="B39" s="128" t="s">
        <v>319</v>
      </c>
      <c r="C39" s="129" t="s">
        <v>320</v>
      </c>
      <c r="D39" s="130" t="s">
        <v>321</v>
      </c>
      <c r="E39" s="128" t="s">
        <v>322</v>
      </c>
    </row>
    <row r="40" spans="2:10" ht="18" x14ac:dyDescent="0.2">
      <c r="B40" s="143">
        <v>44439</v>
      </c>
      <c r="C40" s="148" t="s">
        <v>351</v>
      </c>
      <c r="D40" s="327" t="s">
        <v>445</v>
      </c>
      <c r="E40" s="143">
        <v>44446</v>
      </c>
    </row>
    <row r="41" spans="2:10" ht="18" x14ac:dyDescent="0.2">
      <c r="B41" s="261">
        <v>44597</v>
      </c>
      <c r="C41" s="146" t="s">
        <v>352</v>
      </c>
      <c r="D41" s="327" t="s">
        <v>445</v>
      </c>
      <c r="E41" s="142">
        <v>44656</v>
      </c>
    </row>
    <row r="42" spans="2:10" ht="18" x14ac:dyDescent="0.2">
      <c r="B42" s="261">
        <v>44597</v>
      </c>
      <c r="C42" s="147" t="s">
        <v>353</v>
      </c>
      <c r="D42" s="327" t="s">
        <v>445</v>
      </c>
      <c r="E42" s="142">
        <v>44656</v>
      </c>
    </row>
    <row r="43" spans="2:10" ht="18" x14ac:dyDescent="0.2">
      <c r="B43" s="261">
        <v>44628</v>
      </c>
      <c r="C43" s="147" t="s">
        <v>354</v>
      </c>
      <c r="D43" s="327" t="s">
        <v>445</v>
      </c>
      <c r="E43" s="142">
        <v>44672</v>
      </c>
    </row>
    <row r="44" spans="2:10" ht="18" x14ac:dyDescent="0.2">
      <c r="B44" s="261">
        <v>44748</v>
      </c>
      <c r="C44" s="147" t="s">
        <v>355</v>
      </c>
      <c r="D44" s="327" t="s">
        <v>445</v>
      </c>
      <c r="E44" s="142">
        <v>44803</v>
      </c>
    </row>
    <row r="45" spans="2:10" ht="18" x14ac:dyDescent="0.2">
      <c r="B45" s="261">
        <v>44666</v>
      </c>
      <c r="C45" s="147" t="s">
        <v>356</v>
      </c>
      <c r="D45" s="327" t="s">
        <v>445</v>
      </c>
      <c r="E45" s="142">
        <v>44803</v>
      </c>
      <c r="G45" s="172" t="s">
        <v>357</v>
      </c>
      <c r="H45" s="172"/>
      <c r="I45" s="172"/>
      <c r="J45" s="172"/>
    </row>
    <row r="46" spans="2:10" ht="18" x14ac:dyDescent="0.2">
      <c r="B46" s="261">
        <v>44791</v>
      </c>
      <c r="C46" s="147" t="s">
        <v>358</v>
      </c>
      <c r="D46" s="327" t="s">
        <v>445</v>
      </c>
      <c r="E46" s="142">
        <v>44803</v>
      </c>
    </row>
    <row r="47" spans="2:10" ht="18" x14ac:dyDescent="0.2">
      <c r="B47" s="261">
        <v>44697</v>
      </c>
      <c r="C47" s="147" t="s">
        <v>359</v>
      </c>
      <c r="D47" s="327" t="s">
        <v>445</v>
      </c>
      <c r="E47" s="142">
        <v>44840</v>
      </c>
    </row>
    <row r="48" spans="2:10" ht="18" x14ac:dyDescent="0.2">
      <c r="B48" s="261">
        <v>44806</v>
      </c>
      <c r="C48" s="147" t="s">
        <v>360</v>
      </c>
      <c r="D48" s="327" t="s">
        <v>445</v>
      </c>
      <c r="E48" s="142">
        <v>44887</v>
      </c>
    </row>
    <row r="49" spans="2:10" ht="18" x14ac:dyDescent="0.2">
      <c r="B49" s="261">
        <v>44882</v>
      </c>
      <c r="C49" s="147" t="s">
        <v>361</v>
      </c>
      <c r="D49" s="327" t="s">
        <v>445</v>
      </c>
      <c r="E49" s="142">
        <v>44909</v>
      </c>
      <c r="G49" s="172" t="s">
        <v>362</v>
      </c>
      <c r="J49" s="172"/>
    </row>
    <row r="50" spans="2:10" ht="18" x14ac:dyDescent="0.2">
      <c r="B50" s="261">
        <v>44803</v>
      </c>
      <c r="C50" s="147" t="s">
        <v>363</v>
      </c>
      <c r="D50" s="327" t="s">
        <v>445</v>
      </c>
      <c r="E50" s="142">
        <v>44897</v>
      </c>
    </row>
    <row r="51" spans="2:10" ht="18" x14ac:dyDescent="0.2">
      <c r="B51" s="261">
        <v>44965</v>
      </c>
      <c r="C51" s="147" t="s">
        <v>364</v>
      </c>
      <c r="D51" s="327" t="s">
        <v>445</v>
      </c>
      <c r="E51" s="142">
        <v>44973</v>
      </c>
    </row>
    <row r="52" spans="2:10" ht="18" x14ac:dyDescent="0.2">
      <c r="B52" s="261">
        <v>44715</v>
      </c>
      <c r="C52" s="322" t="s">
        <v>365</v>
      </c>
      <c r="D52" s="327" t="s">
        <v>445</v>
      </c>
      <c r="E52" s="212">
        <v>45033</v>
      </c>
      <c r="G52" s="172" t="s">
        <v>366</v>
      </c>
    </row>
    <row r="53" spans="2:10" ht="18" x14ac:dyDescent="0.2">
      <c r="B53" s="261">
        <v>44937</v>
      </c>
      <c r="C53" s="147" t="s">
        <v>367</v>
      </c>
      <c r="D53" s="327" t="s">
        <v>445</v>
      </c>
      <c r="E53" s="142">
        <v>45034</v>
      </c>
    </row>
    <row r="54" spans="2:10" ht="18" x14ac:dyDescent="0.2">
      <c r="B54" s="261">
        <v>44988</v>
      </c>
      <c r="C54" s="147" t="s">
        <v>368</v>
      </c>
      <c r="D54" s="327" t="s">
        <v>445</v>
      </c>
      <c r="E54" s="142">
        <v>45034</v>
      </c>
    </row>
    <row r="55" spans="2:10" ht="18" x14ac:dyDescent="0.2">
      <c r="B55" s="142">
        <v>45043</v>
      </c>
      <c r="C55" s="147" t="s">
        <v>369</v>
      </c>
      <c r="D55" s="327" t="s">
        <v>445</v>
      </c>
      <c r="E55" s="142">
        <v>45043</v>
      </c>
    </row>
    <row r="56" spans="2:10" ht="18" x14ac:dyDescent="0.2">
      <c r="B56" s="261">
        <v>45058</v>
      </c>
      <c r="C56" s="147" t="s">
        <v>370</v>
      </c>
      <c r="D56" s="327" t="s">
        <v>445</v>
      </c>
      <c r="E56" s="142">
        <v>45071</v>
      </c>
    </row>
    <row r="57" spans="2:10" ht="18" x14ac:dyDescent="0.2">
      <c r="B57" s="261">
        <v>44748</v>
      </c>
      <c r="C57" s="147" t="s">
        <v>371</v>
      </c>
      <c r="D57" s="327" t="s">
        <v>445</v>
      </c>
      <c r="E57" s="142">
        <v>45071</v>
      </c>
    </row>
    <row r="58" spans="2:10" ht="18" x14ac:dyDescent="0.2">
      <c r="B58" s="261">
        <v>44791</v>
      </c>
      <c r="C58" s="147" t="s">
        <v>372</v>
      </c>
      <c r="D58" s="327" t="s">
        <v>445</v>
      </c>
      <c r="E58" s="142">
        <v>45071</v>
      </c>
    </row>
    <row r="59" spans="2:10" ht="18" x14ac:dyDescent="0.2">
      <c r="B59" s="261">
        <v>44993</v>
      </c>
      <c r="C59" s="147" t="s">
        <v>373</v>
      </c>
      <c r="D59" s="327" t="s">
        <v>445</v>
      </c>
      <c r="E59" s="142">
        <v>45071</v>
      </c>
    </row>
    <row r="60" spans="2:10" ht="18" x14ac:dyDescent="0.2">
      <c r="B60" s="261">
        <v>45070</v>
      </c>
      <c r="C60" s="147" t="s">
        <v>374</v>
      </c>
      <c r="D60" s="327" t="s">
        <v>445</v>
      </c>
      <c r="E60" s="142">
        <v>45091</v>
      </c>
    </row>
    <row r="61" spans="2:10" ht="18" x14ac:dyDescent="0.2">
      <c r="B61" s="261">
        <v>45097</v>
      </c>
      <c r="C61" s="147" t="s">
        <v>375</v>
      </c>
      <c r="D61" s="327" t="s">
        <v>445</v>
      </c>
      <c r="E61" s="142">
        <v>45097</v>
      </c>
    </row>
    <row r="62" spans="2:10" ht="18" x14ac:dyDescent="0.2">
      <c r="B62" s="142">
        <v>45100</v>
      </c>
      <c r="C62" s="147" t="s">
        <v>376</v>
      </c>
      <c r="D62" s="327" t="s">
        <v>445</v>
      </c>
      <c r="E62" s="142">
        <v>45100</v>
      </c>
    </row>
    <row r="63" spans="2:10" ht="18" x14ac:dyDescent="0.2">
      <c r="B63" s="261">
        <v>45090</v>
      </c>
      <c r="C63" s="147" t="s">
        <v>377</v>
      </c>
      <c r="D63" s="327" t="s">
        <v>445</v>
      </c>
      <c r="E63" s="142">
        <v>45105</v>
      </c>
      <c r="G63" s="172" t="s">
        <v>362</v>
      </c>
    </row>
    <row r="64" spans="2:10" ht="18" x14ac:dyDescent="0.2">
      <c r="B64" s="261">
        <v>45098</v>
      </c>
      <c r="C64" s="147" t="s">
        <v>378</v>
      </c>
      <c r="D64" s="327" t="s">
        <v>445</v>
      </c>
      <c r="E64" s="142">
        <v>45134</v>
      </c>
    </row>
    <row r="65" spans="2:7" ht="18" x14ac:dyDescent="0.2">
      <c r="B65" s="261">
        <v>45163</v>
      </c>
      <c r="C65" s="147" t="s">
        <v>379</v>
      </c>
      <c r="D65" s="327" t="s">
        <v>445</v>
      </c>
      <c r="E65" s="142">
        <v>45163</v>
      </c>
    </row>
    <row r="66" spans="2:7" ht="18" x14ac:dyDescent="0.2">
      <c r="B66" s="261">
        <v>45141</v>
      </c>
      <c r="C66" s="147" t="s">
        <v>380</v>
      </c>
      <c r="D66" s="327" t="s">
        <v>445</v>
      </c>
      <c r="E66" s="142">
        <v>45160</v>
      </c>
    </row>
    <row r="67" spans="2:7" ht="18" x14ac:dyDescent="0.2">
      <c r="B67" s="261">
        <v>44665</v>
      </c>
      <c r="C67" s="147" t="s">
        <v>381</v>
      </c>
      <c r="D67" s="327" t="s">
        <v>445</v>
      </c>
      <c r="E67" s="142">
        <v>45198</v>
      </c>
    </row>
    <row r="68" spans="2:7" ht="18" x14ac:dyDescent="0.2">
      <c r="B68" s="261">
        <v>45245</v>
      </c>
      <c r="C68" s="147" t="s">
        <v>382</v>
      </c>
      <c r="D68" s="327" t="s">
        <v>445</v>
      </c>
      <c r="E68" s="142">
        <v>45246</v>
      </c>
    </row>
    <row r="69" spans="2:7" ht="18" x14ac:dyDescent="0.2">
      <c r="B69" s="261">
        <v>45121</v>
      </c>
      <c r="C69" s="147" t="s">
        <v>383</v>
      </c>
      <c r="D69" s="327" t="s">
        <v>445</v>
      </c>
      <c r="E69" s="142">
        <v>45246</v>
      </c>
    </row>
    <row r="70" spans="2:7" ht="18" x14ac:dyDescent="0.2">
      <c r="B70" s="261">
        <v>45245</v>
      </c>
      <c r="C70" s="147" t="s">
        <v>384</v>
      </c>
      <c r="D70" s="327" t="s">
        <v>445</v>
      </c>
      <c r="E70" s="142">
        <v>45246</v>
      </c>
    </row>
    <row r="71" spans="2:7" ht="18" x14ac:dyDescent="0.2">
      <c r="B71" s="323">
        <v>45246</v>
      </c>
      <c r="C71" s="324" t="s">
        <v>385</v>
      </c>
      <c r="D71" s="327" t="s">
        <v>445</v>
      </c>
      <c r="E71" s="325">
        <v>45246</v>
      </c>
      <c r="G71" s="172" t="s">
        <v>366</v>
      </c>
    </row>
    <row r="72" spans="2:7" ht="36" x14ac:dyDescent="0.2">
      <c r="B72" s="261">
        <v>45278</v>
      </c>
      <c r="C72" s="146" t="s">
        <v>386</v>
      </c>
      <c r="D72" s="327" t="s">
        <v>445</v>
      </c>
      <c r="E72" s="142">
        <v>45320</v>
      </c>
    </row>
    <row r="73" spans="2:7" ht="18" x14ac:dyDescent="0.2">
      <c r="B73" s="261">
        <v>45278</v>
      </c>
      <c r="C73" s="147" t="s">
        <v>387</v>
      </c>
      <c r="D73" s="327" t="s">
        <v>445</v>
      </c>
      <c r="E73" s="142">
        <v>45320</v>
      </c>
    </row>
    <row r="74" spans="2:7" ht="18" x14ac:dyDescent="0.2">
      <c r="B74" s="261">
        <v>45278</v>
      </c>
      <c r="C74" s="147" t="s">
        <v>388</v>
      </c>
      <c r="D74" s="327" t="s">
        <v>445</v>
      </c>
      <c r="E74" s="142">
        <v>45320</v>
      </c>
    </row>
    <row r="75" spans="2:7" ht="18" x14ac:dyDescent="0.2">
      <c r="B75" s="261">
        <v>45399</v>
      </c>
      <c r="C75" s="147" t="s">
        <v>389</v>
      </c>
      <c r="D75" s="327" t="s">
        <v>445</v>
      </c>
      <c r="E75" s="261">
        <v>45406</v>
      </c>
    </row>
    <row r="76" spans="2:7" ht="18" x14ac:dyDescent="0.2">
      <c r="B76" s="261">
        <v>45434</v>
      </c>
      <c r="C76" s="147" t="s">
        <v>390</v>
      </c>
      <c r="D76" s="327" t="s">
        <v>445</v>
      </c>
      <c r="E76" s="261">
        <v>45436</v>
      </c>
    </row>
    <row r="77" spans="2:7" ht="36" x14ac:dyDescent="0.2">
      <c r="B77" s="261">
        <v>45420</v>
      </c>
      <c r="C77" s="146" t="s">
        <v>391</v>
      </c>
      <c r="D77" s="327" t="s">
        <v>445</v>
      </c>
      <c r="E77" s="261">
        <v>45436</v>
      </c>
    </row>
    <row r="78" spans="2:7" ht="18" x14ac:dyDescent="0.2">
      <c r="B78" s="261">
        <v>45399</v>
      </c>
      <c r="C78" s="147" t="s">
        <v>392</v>
      </c>
      <c r="D78" s="327" t="s">
        <v>445</v>
      </c>
      <c r="E78" s="261">
        <v>45436</v>
      </c>
    </row>
    <row r="79" spans="2:7" ht="18" x14ac:dyDescent="0.2">
      <c r="B79" s="261">
        <v>45463</v>
      </c>
      <c r="C79" s="147" t="s">
        <v>393</v>
      </c>
      <c r="D79" s="327" t="s">
        <v>445</v>
      </c>
      <c r="E79" s="299">
        <v>45503</v>
      </c>
    </row>
    <row r="80" spans="2:7" ht="18" x14ac:dyDescent="0.2">
      <c r="B80" s="261">
        <v>45576</v>
      </c>
      <c r="C80" s="147" t="s">
        <v>394</v>
      </c>
      <c r="D80" s="327" t="s">
        <v>445</v>
      </c>
      <c r="E80" s="299">
        <v>45636</v>
      </c>
    </row>
    <row r="81" spans="2:10" ht="18" x14ac:dyDescent="0.2">
      <c r="B81" s="261">
        <v>45547</v>
      </c>
      <c r="C81" s="147" t="s">
        <v>395</v>
      </c>
      <c r="D81" s="327" t="s">
        <v>445</v>
      </c>
      <c r="E81" s="299">
        <v>45637</v>
      </c>
    </row>
    <row r="82" spans="2:10" ht="18" x14ac:dyDescent="0.2">
      <c r="B82" s="261">
        <v>45680</v>
      </c>
      <c r="C82" s="147" t="s">
        <v>396</v>
      </c>
      <c r="D82" s="327" t="s">
        <v>445</v>
      </c>
      <c r="E82" s="299">
        <v>45715</v>
      </c>
    </row>
    <row r="83" spans="2:10" ht="18" x14ac:dyDescent="0.2">
      <c r="B83" s="261">
        <v>45722</v>
      </c>
      <c r="C83" s="147" t="s">
        <v>397</v>
      </c>
      <c r="D83" s="327" t="s">
        <v>445</v>
      </c>
      <c r="E83" s="299">
        <v>45749</v>
      </c>
    </row>
    <row r="84" spans="2:10" ht="18" x14ac:dyDescent="0.2">
      <c r="B84" s="261">
        <v>45741</v>
      </c>
      <c r="C84" s="147" t="s">
        <v>398</v>
      </c>
      <c r="D84" s="327" t="s">
        <v>445</v>
      </c>
      <c r="E84" s="299">
        <v>45749</v>
      </c>
    </row>
    <row r="85" spans="2:10" ht="18" x14ac:dyDescent="0.2">
      <c r="B85" s="261">
        <v>45742</v>
      </c>
      <c r="C85" s="147" t="s">
        <v>399</v>
      </c>
      <c r="D85" s="327" t="s">
        <v>445</v>
      </c>
      <c r="E85" s="299">
        <v>45749</v>
      </c>
    </row>
    <row r="86" spans="2:10" ht="18" x14ac:dyDescent="0.2">
      <c r="B86" s="261">
        <v>45749</v>
      </c>
      <c r="C86" s="147" t="s">
        <v>400</v>
      </c>
      <c r="D86" s="327" t="s">
        <v>445</v>
      </c>
      <c r="E86" s="299">
        <v>45749</v>
      </c>
    </row>
    <row r="87" spans="2:10" ht="18" x14ac:dyDescent="0.2">
      <c r="B87" s="261">
        <v>45749</v>
      </c>
      <c r="C87" s="147" t="s">
        <v>401</v>
      </c>
      <c r="D87" s="327" t="s">
        <v>445</v>
      </c>
      <c r="E87" s="299">
        <v>45749</v>
      </c>
    </row>
    <row r="88" spans="2:10" ht="18" x14ac:dyDescent="0.2">
      <c r="B88" s="261">
        <v>45762</v>
      </c>
      <c r="C88" s="147" t="s">
        <v>402</v>
      </c>
      <c r="D88" s="327" t="s">
        <v>445</v>
      </c>
      <c r="E88" s="299">
        <v>45785</v>
      </c>
    </row>
    <row r="89" spans="2:10" ht="18" x14ac:dyDescent="0.2">
      <c r="B89" s="261" t="s">
        <v>403</v>
      </c>
      <c r="C89" s="147" t="s">
        <v>404</v>
      </c>
      <c r="D89" s="327" t="s">
        <v>445</v>
      </c>
      <c r="E89" s="299">
        <v>45835</v>
      </c>
    </row>
    <row r="90" spans="2:10" ht="18" x14ac:dyDescent="0.2">
      <c r="B90" s="261" t="s">
        <v>403</v>
      </c>
      <c r="C90" s="147" t="s">
        <v>405</v>
      </c>
      <c r="D90" s="327" t="s">
        <v>445</v>
      </c>
      <c r="E90" s="299">
        <v>45835</v>
      </c>
    </row>
    <row r="91" spans="2:10" ht="18" x14ac:dyDescent="0.2">
      <c r="B91" s="261" t="s">
        <v>403</v>
      </c>
      <c r="C91" s="147" t="s">
        <v>406</v>
      </c>
      <c r="D91" s="327" t="s">
        <v>445</v>
      </c>
      <c r="E91" s="299">
        <v>45835</v>
      </c>
    </row>
    <row r="92" spans="2:10" ht="18" x14ac:dyDescent="0.2">
      <c r="B92" s="261"/>
      <c r="C92" s="292" t="s">
        <v>407</v>
      </c>
      <c r="D92" s="210">
        <v>1346</v>
      </c>
      <c r="E92" s="210" t="s">
        <v>194</v>
      </c>
    </row>
    <row r="93" spans="2:10" ht="18" x14ac:dyDescent="0.2">
      <c r="B93" s="262"/>
      <c r="C93" s="144" t="s">
        <v>335</v>
      </c>
      <c r="D93" s="210">
        <v>47232.92</v>
      </c>
      <c r="E93" s="143"/>
    </row>
    <row r="94" spans="2:10" ht="23.25" x14ac:dyDescent="0.35">
      <c r="B94" s="406" t="s">
        <v>224</v>
      </c>
      <c r="C94" s="406"/>
      <c r="D94" s="406"/>
      <c r="E94" s="406"/>
    </row>
    <row r="95" spans="2:10" ht="37.5" x14ac:dyDescent="0.2">
      <c r="B95" s="128" t="s">
        <v>319</v>
      </c>
      <c r="C95" s="129" t="s">
        <v>320</v>
      </c>
      <c r="D95" s="130" t="s">
        <v>321</v>
      </c>
      <c r="E95" s="128" t="s">
        <v>322</v>
      </c>
    </row>
    <row r="96" spans="2:10" ht="18" x14ac:dyDescent="0.2">
      <c r="B96" s="142">
        <v>45429</v>
      </c>
      <c r="C96" s="147" t="s">
        <v>408</v>
      </c>
      <c r="D96" s="327" t="s">
        <v>445</v>
      </c>
      <c r="E96" s="142">
        <v>45429</v>
      </c>
      <c r="G96" s="317"/>
      <c r="H96" s="317"/>
      <c r="I96" s="317"/>
      <c r="J96" s="317"/>
    </row>
    <row r="97" spans="2:10" ht="18" x14ac:dyDescent="0.2">
      <c r="B97" s="142">
        <v>45510</v>
      </c>
      <c r="C97" s="147" t="s">
        <v>409</v>
      </c>
      <c r="D97" s="327" t="s">
        <v>445</v>
      </c>
      <c r="E97" s="142">
        <v>45516</v>
      </c>
    </row>
    <row r="98" spans="2:10" ht="18" x14ac:dyDescent="0.2">
      <c r="B98" s="142">
        <v>45524</v>
      </c>
      <c r="C98" s="147" t="s">
        <v>410</v>
      </c>
      <c r="D98" s="327" t="s">
        <v>445</v>
      </c>
      <c r="E98" s="142">
        <v>45638</v>
      </c>
    </row>
    <row r="99" spans="2:10" ht="18" x14ac:dyDescent="0.2">
      <c r="B99" s="142">
        <v>45669</v>
      </c>
      <c r="C99" s="147" t="s">
        <v>411</v>
      </c>
      <c r="D99" s="327" t="s">
        <v>445</v>
      </c>
      <c r="E99" s="142">
        <v>45678</v>
      </c>
    </row>
    <row r="100" spans="2:10" ht="18" x14ac:dyDescent="0.2">
      <c r="B100" s="142">
        <v>45733</v>
      </c>
      <c r="C100" s="147" t="s">
        <v>412</v>
      </c>
      <c r="D100" s="327" t="s">
        <v>445</v>
      </c>
      <c r="E100" s="142">
        <v>45761</v>
      </c>
    </row>
    <row r="101" spans="2:10" ht="18" x14ac:dyDescent="0.2">
      <c r="B101" s="142">
        <v>45741</v>
      </c>
      <c r="C101" s="147" t="s">
        <v>413</v>
      </c>
      <c r="D101" s="327" t="s">
        <v>445</v>
      </c>
      <c r="E101" s="142">
        <v>45761</v>
      </c>
    </row>
    <row r="102" spans="2:10" ht="18" x14ac:dyDescent="0.2">
      <c r="B102" s="142"/>
      <c r="C102" s="292" t="s">
        <v>414</v>
      </c>
      <c r="D102" s="210">
        <v>36</v>
      </c>
      <c r="E102" s="142" t="s">
        <v>194</v>
      </c>
    </row>
    <row r="103" spans="2:10" ht="17.45" customHeight="1" x14ac:dyDescent="0.3">
      <c r="B103" s="260"/>
      <c r="C103" s="144" t="s">
        <v>335</v>
      </c>
      <c r="D103" s="210">
        <v>1574</v>
      </c>
      <c r="E103" s="143"/>
    </row>
    <row r="104" spans="2:10" ht="23.25" x14ac:dyDescent="0.35">
      <c r="B104" s="406" t="s">
        <v>242</v>
      </c>
      <c r="C104" s="406"/>
      <c r="D104" s="406"/>
      <c r="E104" s="406"/>
    </row>
    <row r="105" spans="2:10" ht="37.5" x14ac:dyDescent="0.2">
      <c r="B105" s="128" t="s">
        <v>319</v>
      </c>
      <c r="C105" s="129" t="s">
        <v>320</v>
      </c>
      <c r="D105" s="130" t="s">
        <v>321</v>
      </c>
      <c r="E105" s="128" t="s">
        <v>322</v>
      </c>
    </row>
    <row r="106" spans="2:10" ht="18" x14ac:dyDescent="0.2">
      <c r="B106" s="142">
        <v>45427</v>
      </c>
      <c r="C106" s="147" t="s">
        <v>415</v>
      </c>
      <c r="D106" s="327" t="s">
        <v>445</v>
      </c>
      <c r="E106" s="142">
        <v>45436</v>
      </c>
      <c r="G106" s="172" t="s">
        <v>362</v>
      </c>
      <c r="I106" s="281"/>
      <c r="J106" s="281"/>
    </row>
    <row r="107" spans="2:10" ht="18" x14ac:dyDescent="0.2">
      <c r="B107" s="142">
        <v>45399</v>
      </c>
      <c r="C107" s="147" t="s">
        <v>416</v>
      </c>
      <c r="D107" s="327" t="s">
        <v>445</v>
      </c>
      <c r="E107" s="142">
        <v>45421</v>
      </c>
    </row>
    <row r="108" spans="2:10" ht="18" x14ac:dyDescent="0.2">
      <c r="B108" s="142">
        <v>45274</v>
      </c>
      <c r="C108" s="147" t="s">
        <v>417</v>
      </c>
      <c r="D108" s="327" t="s">
        <v>445</v>
      </c>
      <c r="E108" s="142">
        <v>45436</v>
      </c>
    </row>
    <row r="109" spans="2:10" ht="18" x14ac:dyDescent="0.2">
      <c r="B109" s="142" t="s">
        <v>418</v>
      </c>
      <c r="C109" s="147" t="s">
        <v>419</v>
      </c>
      <c r="D109" s="327" t="s">
        <v>445</v>
      </c>
      <c r="E109" s="142" t="s">
        <v>420</v>
      </c>
      <c r="G109" s="172" t="s">
        <v>366</v>
      </c>
      <c r="I109" s="281"/>
      <c r="J109" s="281"/>
    </row>
    <row r="110" spans="2:10" ht="18" x14ac:dyDescent="0.2">
      <c r="B110" s="142">
        <v>45617</v>
      </c>
      <c r="C110" s="147" t="s">
        <v>421</v>
      </c>
      <c r="D110" s="327" t="s">
        <v>445</v>
      </c>
      <c r="E110" s="142">
        <v>45670</v>
      </c>
    </row>
    <row r="111" spans="2:10" ht="18" x14ac:dyDescent="0.2">
      <c r="B111" s="142">
        <v>45617</v>
      </c>
      <c r="C111" s="147" t="s">
        <v>422</v>
      </c>
      <c r="D111" s="327" t="s">
        <v>445</v>
      </c>
      <c r="E111" s="142">
        <v>45670</v>
      </c>
      <c r="F111" s="117"/>
    </row>
    <row r="112" spans="2:10" ht="18" x14ac:dyDescent="0.2">
      <c r="B112" s="142">
        <v>45576</v>
      </c>
      <c r="C112" s="147" t="s">
        <v>423</v>
      </c>
      <c r="D112" s="327" t="s">
        <v>445</v>
      </c>
      <c r="E112" s="142">
        <v>45637</v>
      </c>
    </row>
    <row r="113" spans="2:5" ht="18" x14ac:dyDescent="0.2">
      <c r="B113" s="142">
        <v>45460</v>
      </c>
      <c r="C113" s="147" t="s">
        <v>424</v>
      </c>
      <c r="D113" s="327" t="s">
        <v>445</v>
      </c>
      <c r="E113" s="142">
        <v>45632</v>
      </c>
    </row>
    <row r="114" spans="2:5" ht="18" x14ac:dyDescent="0.2">
      <c r="B114" s="142">
        <v>45694</v>
      </c>
      <c r="C114" s="147" t="s">
        <v>425</v>
      </c>
      <c r="D114" s="327" t="s">
        <v>445</v>
      </c>
      <c r="E114" s="142">
        <v>45695</v>
      </c>
    </row>
    <row r="115" spans="2:5" ht="18" x14ac:dyDescent="0.2">
      <c r="B115" s="142">
        <v>45694</v>
      </c>
      <c r="C115" s="147" t="s">
        <v>426</v>
      </c>
      <c r="D115" s="327" t="s">
        <v>445</v>
      </c>
      <c r="E115" s="142" t="s">
        <v>427</v>
      </c>
    </row>
    <row r="116" spans="2:5" ht="18" x14ac:dyDescent="0.2">
      <c r="B116" s="142">
        <v>45742</v>
      </c>
      <c r="C116" s="147" t="s">
        <v>428</v>
      </c>
      <c r="D116" s="327" t="s">
        <v>445</v>
      </c>
      <c r="E116" s="142">
        <v>45749</v>
      </c>
    </row>
    <row r="117" spans="2:5" ht="18" x14ac:dyDescent="0.2">
      <c r="B117" s="142">
        <v>45436</v>
      </c>
      <c r="C117" s="147" t="s">
        <v>429</v>
      </c>
      <c r="D117" s="327" t="s">
        <v>445</v>
      </c>
      <c r="E117" s="142">
        <v>45817</v>
      </c>
    </row>
    <row r="118" spans="2:5" ht="18" x14ac:dyDescent="0.2">
      <c r="B118" s="142"/>
      <c r="C118" s="292" t="s">
        <v>430</v>
      </c>
      <c r="D118" s="210">
        <v>502</v>
      </c>
      <c r="E118" s="295" t="s">
        <v>194</v>
      </c>
    </row>
    <row r="119" spans="2:5" ht="18.75" x14ac:dyDescent="0.3">
      <c r="B119" s="260"/>
      <c r="C119" s="292" t="s">
        <v>335</v>
      </c>
      <c r="D119" s="210">
        <v>14711</v>
      </c>
      <c r="E119" s="58"/>
    </row>
    <row r="120" spans="2:5" ht="23.25" x14ac:dyDescent="0.35">
      <c r="B120" s="406" t="s">
        <v>268</v>
      </c>
      <c r="C120" s="406"/>
      <c r="D120" s="406"/>
      <c r="E120" s="406"/>
    </row>
    <row r="121" spans="2:5" ht="37.5" x14ac:dyDescent="0.2">
      <c r="B121" s="128" t="s">
        <v>319</v>
      </c>
      <c r="C121" s="129" t="s">
        <v>320</v>
      </c>
      <c r="D121" s="130" t="s">
        <v>321</v>
      </c>
      <c r="E121" s="128" t="s">
        <v>322</v>
      </c>
    </row>
    <row r="122" spans="2:5" ht="18" x14ac:dyDescent="0.25">
      <c r="B122" s="315"/>
      <c r="C122" s="147"/>
      <c r="D122" s="210"/>
      <c r="E122" s="142"/>
    </row>
    <row r="123" spans="2:5" ht="18.75" x14ac:dyDescent="0.3">
      <c r="B123" s="260"/>
      <c r="C123" s="45"/>
      <c r="D123" s="46"/>
      <c r="E123" s="131"/>
    </row>
    <row r="124" spans="2:5" ht="18.75" x14ac:dyDescent="0.3">
      <c r="B124" s="260"/>
      <c r="C124" s="45"/>
      <c r="D124" s="46"/>
      <c r="E124" s="131"/>
    </row>
    <row r="125" spans="2:5" ht="18.75" x14ac:dyDescent="0.3">
      <c r="B125" s="260"/>
      <c r="C125" s="45"/>
      <c r="D125" s="46"/>
      <c r="E125" s="131"/>
    </row>
    <row r="126" spans="2:5" ht="18.75" x14ac:dyDescent="0.3">
      <c r="B126" s="260"/>
      <c r="C126" s="45"/>
      <c r="D126" s="46"/>
      <c r="E126" s="131"/>
    </row>
    <row r="127" spans="2:5" ht="18.75" x14ac:dyDescent="0.3">
      <c r="B127" s="260"/>
      <c r="C127" s="45"/>
      <c r="D127" s="46"/>
      <c r="E127" s="131"/>
    </row>
    <row r="128" spans="2:5" ht="18.75" x14ac:dyDescent="0.3">
      <c r="B128" s="260"/>
      <c r="C128" s="45"/>
      <c r="D128" s="46"/>
      <c r="E128" s="131"/>
    </row>
    <row r="129" spans="2:7" ht="18.75" x14ac:dyDescent="0.3">
      <c r="B129" s="260"/>
      <c r="C129" s="292" t="s">
        <v>335</v>
      </c>
      <c r="D129" s="304">
        <f>SUM(D122:D127)</f>
        <v>0</v>
      </c>
      <c r="E129" s="131"/>
    </row>
    <row r="130" spans="2:7" ht="23.25" x14ac:dyDescent="0.35">
      <c r="B130" s="406" t="s">
        <v>278</v>
      </c>
      <c r="C130" s="406"/>
      <c r="D130" s="406"/>
      <c r="E130" s="406"/>
    </row>
    <row r="131" spans="2:7" ht="37.5" x14ac:dyDescent="0.2">
      <c r="B131" s="128" t="s">
        <v>319</v>
      </c>
      <c r="C131" s="129" t="s">
        <v>320</v>
      </c>
      <c r="D131" s="130" t="s">
        <v>321</v>
      </c>
      <c r="E131" s="128" t="s">
        <v>322</v>
      </c>
    </row>
    <row r="132" spans="2:7" ht="18" x14ac:dyDescent="0.25">
      <c r="B132" s="315">
        <v>45749</v>
      </c>
      <c r="C132" s="147" t="s">
        <v>431</v>
      </c>
      <c r="D132" s="327" t="s">
        <v>445</v>
      </c>
      <c r="E132" s="142">
        <v>45786</v>
      </c>
      <c r="G132" s="172"/>
    </row>
    <row r="133" spans="2:7" ht="18" x14ac:dyDescent="0.25">
      <c r="B133" s="315">
        <v>45749</v>
      </c>
      <c r="C133" s="147" t="s">
        <v>432</v>
      </c>
      <c r="D133" s="327" t="s">
        <v>445</v>
      </c>
      <c r="E133" s="142">
        <v>45786</v>
      </c>
      <c r="G133" s="172"/>
    </row>
    <row r="134" spans="2:7" ht="18.75" x14ac:dyDescent="0.3">
      <c r="B134" s="260"/>
      <c r="C134" s="292" t="s">
        <v>433</v>
      </c>
      <c r="D134" s="210">
        <v>107</v>
      </c>
      <c r="E134" s="142" t="s">
        <v>194</v>
      </c>
      <c r="G134" s="172"/>
    </row>
    <row r="135" spans="2:7" ht="18.75" x14ac:dyDescent="0.3">
      <c r="B135" s="260"/>
      <c r="C135" s="306" t="s">
        <v>434</v>
      </c>
      <c r="D135" s="305">
        <v>635</v>
      </c>
      <c r="E135" s="131"/>
    </row>
    <row r="146" spans="2:5" ht="18" x14ac:dyDescent="0.25">
      <c r="B146" s="139"/>
      <c r="C146" s="139"/>
      <c r="D146" s="139"/>
      <c r="E146" s="139"/>
    </row>
    <row r="147" spans="2:5" ht="18" x14ac:dyDescent="0.25">
      <c r="B147" s="139"/>
      <c r="C147" s="139"/>
      <c r="D147" s="139"/>
      <c r="E147" s="139"/>
    </row>
    <row r="148" spans="2:5" ht="18" x14ac:dyDescent="0.25">
      <c r="B148" s="139"/>
      <c r="C148" s="139"/>
      <c r="D148" s="139"/>
      <c r="E148" s="139"/>
    </row>
    <row r="149" spans="2:5" ht="18" x14ac:dyDescent="0.25">
      <c r="B149" s="139"/>
      <c r="C149" s="139"/>
      <c r="D149" s="139"/>
      <c r="E149" s="139"/>
    </row>
    <row r="150" spans="2:5" ht="18" x14ac:dyDescent="0.25">
      <c r="B150" s="139"/>
      <c r="C150" s="139"/>
      <c r="D150" s="139"/>
      <c r="E150" s="139"/>
    </row>
    <row r="151" spans="2:5" ht="18" x14ac:dyDescent="0.25">
      <c r="B151" s="139"/>
      <c r="C151" s="139"/>
      <c r="D151" s="139"/>
      <c r="E151" s="139"/>
    </row>
    <row r="152" spans="2:5" ht="18" x14ac:dyDescent="0.25">
      <c r="B152" s="139"/>
      <c r="C152" s="139"/>
      <c r="D152" s="139"/>
      <c r="E152" s="139"/>
    </row>
    <row r="153" spans="2:5" ht="18" x14ac:dyDescent="0.25">
      <c r="B153" s="139"/>
      <c r="C153" s="139"/>
      <c r="D153" s="139"/>
      <c r="E153" s="139"/>
    </row>
    <row r="154" spans="2:5" ht="18" x14ac:dyDescent="0.25">
      <c r="B154" s="139"/>
      <c r="C154" s="139"/>
      <c r="D154" s="139"/>
      <c r="E154" s="139"/>
    </row>
    <row r="155" spans="2:5" ht="18" x14ac:dyDescent="0.25">
      <c r="B155" s="139"/>
      <c r="C155" s="139"/>
      <c r="D155" s="139"/>
      <c r="E155" s="139"/>
    </row>
    <row r="156" spans="2:5" ht="18" x14ac:dyDescent="0.25">
      <c r="B156" s="139"/>
      <c r="C156" s="139"/>
      <c r="D156" s="139"/>
      <c r="E156" s="139"/>
    </row>
    <row r="157" spans="2:5" ht="18" x14ac:dyDescent="0.25">
      <c r="B157" s="139"/>
      <c r="C157" s="139"/>
      <c r="D157" s="139"/>
      <c r="E157" s="139"/>
    </row>
  </sheetData>
  <sortState xmlns:xlrd2="http://schemas.microsoft.com/office/spreadsheetml/2017/richdata2" ref="B8:E37">
    <sortCondition ref="B8:B20"/>
  </sortState>
  <mergeCells count="11">
    <mergeCell ref="B120:E120"/>
    <mergeCell ref="B130:E130"/>
    <mergeCell ref="B38:E38"/>
    <mergeCell ref="B104:E104"/>
    <mergeCell ref="B1:E1"/>
    <mergeCell ref="B94:E94"/>
    <mergeCell ref="B4:E4"/>
    <mergeCell ref="B2:E2"/>
    <mergeCell ref="B3:E3"/>
    <mergeCell ref="B6:E6"/>
    <mergeCell ref="B21:E21"/>
  </mergeCells>
  <printOptions horizontalCentered="1"/>
  <pageMargins left="0.67" right="0.65" top="0.78" bottom="0.75" header="0.52" footer="0.3"/>
  <pageSetup scale="31" orientation="landscape" r:id="rId1"/>
  <headerFooter alignWithMargins="0">
    <oddHeader>&amp;C&amp;"Arial,Bold"&amp;12PUBLIC DISCLOSURE&amp;R&amp;F</oddHeader>
  </headerFooter>
  <rowBreaks count="2" manualBreakCount="2">
    <brk id="37" max="16383" man="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Summary</vt:lpstr>
      <vt:lpstr>Tugalo</vt:lpstr>
      <vt:lpstr>Bartletts</vt:lpstr>
      <vt:lpstr>Nacoochee</vt:lpstr>
      <vt:lpstr>Oliver</vt:lpstr>
      <vt:lpstr>Sinclair</vt:lpstr>
      <vt:lpstr>Burton</vt:lpstr>
      <vt:lpstr>Major Contracts</vt:lpstr>
      <vt:lpstr>Change Orders</vt:lpstr>
      <vt:lpstr>Procurement</vt:lpstr>
      <vt:lpstr>Mod Complete - Terrora</vt:lpstr>
      <vt:lpstr>Bartletts!Print_Area</vt:lpstr>
      <vt:lpstr>Burton!Print_Area</vt:lpstr>
      <vt:lpstr>'Mod Complete - Terrora'!Print_Area</vt:lpstr>
      <vt:lpstr>Nacoochee!Print_Area</vt:lpstr>
      <vt:lpstr>Oliver!Print_Area</vt:lpstr>
      <vt:lpstr>Sinclair!Print_Area</vt:lpstr>
      <vt:lpstr>Summary!Print_Area</vt:lpstr>
      <vt:lpstr>Tugalo!Print_Area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2025-08-14T19:44:05Z</dcterms:created>
  <dcterms:modified xsi:type="dcterms:W3CDTF">2025-08-14T19:44:13Z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y fmtid="{D5CDD505-2E9C-101B-9397-08002B2CF9AE}" pid="3" name="MSIP_Label_ed3826ce-7c18-471d-9596-93de5bae332e_Enabled">
    <vt:lpwstr>true</vt:lpwstr>
  </property>
  <property fmtid="{D5CDD505-2E9C-101B-9397-08002B2CF9AE}" pid="4" name="MSIP_Label_ed3826ce-7c18-471d-9596-93de5bae332e_SetDate">
    <vt:lpwstr>2025-08-14T19:44:12Z</vt:lpwstr>
  </property>
  <property fmtid="{D5CDD505-2E9C-101B-9397-08002B2CF9AE}" pid="5" name="MSIP_Label_ed3826ce-7c18-471d-9596-93de5bae332e_Method">
    <vt:lpwstr>Standard</vt:lpwstr>
  </property>
  <property fmtid="{D5CDD505-2E9C-101B-9397-08002B2CF9AE}" pid="6" name="MSIP_Label_ed3826ce-7c18-471d-9596-93de5bae332e_Name">
    <vt:lpwstr>Internal</vt:lpwstr>
  </property>
  <property fmtid="{D5CDD505-2E9C-101B-9397-08002B2CF9AE}" pid="7" name="MSIP_Label_ed3826ce-7c18-471d-9596-93de5bae332e_SiteId">
    <vt:lpwstr>c0a02e2d-1186-410a-8895-0a4a252ebf17</vt:lpwstr>
  </property>
  <property fmtid="{D5CDD505-2E9C-101B-9397-08002B2CF9AE}" pid="8" name="MSIP_Label_ed3826ce-7c18-471d-9596-93de5bae332e_ActionId">
    <vt:lpwstr>ab36abb2-a7b1-45d9-8871-3e430e599718</vt:lpwstr>
  </property>
  <property fmtid="{D5CDD505-2E9C-101B-9397-08002B2CF9AE}" pid="9" name="MSIP_Label_ed3826ce-7c18-471d-9596-93de5bae332e_ContentBits">
    <vt:lpwstr>0</vt:lpwstr>
  </property>
  <property fmtid="{D5CDD505-2E9C-101B-9397-08002B2CF9AE}" pid="10" name="MSIP_Label_ed3826ce-7c18-471d-9596-93de5bae332e_Tag">
    <vt:lpwstr>10, 3, 0, 1</vt:lpwstr>
  </property>
</Properties>
</file>